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2" i="23"/>
  <c r="E11" i="23"/>
  <c r="E10" i="23"/>
  <c r="E13" i="22"/>
  <c r="E12" i="22"/>
  <c r="E11" i="22"/>
  <c r="E10" i="22"/>
  <c r="E16" i="22"/>
  <c r="E9" i="22"/>
  <c r="G16" i="22"/>
  <c r="E14" i="22" l="1"/>
  <c r="G14" i="22" s="1"/>
  <c r="G17" i="22" s="1"/>
  <c r="E14" i="15"/>
  <c r="E9" i="23" l="1"/>
  <c r="E22" i="2"/>
  <c r="E20" i="2"/>
  <c r="G13" i="10" l="1"/>
  <c r="E14" i="23" l="1"/>
  <c r="G14" i="23" s="1"/>
  <c r="G15" i="23" s="1"/>
  <c r="E13" i="2"/>
  <c r="G11" i="10" l="1"/>
  <c r="F18" i="20"/>
  <c r="F19" i="20" s="1"/>
  <c r="E16" i="2" s="1"/>
  <c r="G19" i="19" l="1"/>
  <c r="G20" i="19" s="1"/>
  <c r="E11" i="2" s="1"/>
  <c r="F50" i="11" l="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G13" i="9" s="1"/>
  <c r="G16" i="9" s="1"/>
  <c r="D11" i="20"/>
  <c r="D12" i="20" s="1"/>
  <c r="E14" i="2" s="1"/>
  <c r="E18" i="2"/>
  <c r="E17" i="2"/>
  <c r="G9" i="8" l="1"/>
  <c r="G12" i="8" s="1"/>
  <c r="G9" i="9"/>
  <c r="E10" i="2"/>
  <c r="E10" i="15" s="1"/>
  <c r="G12" i="7"/>
  <c r="E9" i="2" l="1"/>
  <c r="E15" i="13"/>
  <c r="F11" i="11"/>
  <c r="F51" i="11"/>
  <c r="E16" i="15" l="1"/>
  <c r="G16" i="15" s="1"/>
  <c r="G11" i="9" l="1"/>
  <c r="G12" i="9" s="1"/>
  <c r="E13" i="15" s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52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32" i="2" l="1"/>
  <c r="G32" i="2" s="1"/>
  <c r="E21" i="2" l="1"/>
  <c r="E23" i="2" s="1"/>
  <c r="G23" i="2" l="1"/>
  <c r="G35" i="2" l="1"/>
  <c r="E9" i="15"/>
  <c r="E11" i="15" l="1"/>
  <c r="E12" i="15"/>
  <c r="G14" i="15" l="1"/>
  <c r="G17" i="15" s="1"/>
</calcChain>
</file>

<file path=xl/sharedStrings.xml><?xml version="1.0" encoding="utf-8"?>
<sst xmlns="http://schemas.openxmlformats.org/spreadsheetml/2006/main" count="458" uniqueCount="208">
  <si>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</si>
  <si>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</si>
  <si>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</si>
  <si>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</si>
  <si>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</si>
  <si>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</si>
  <si>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</si>
  <si>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</si>
  <si>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</si>
  <si>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</si>
  <si>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</si>
  <si>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</si>
  <si>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</si>
  <si>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</si>
  <si>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</si>
  <si>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</si>
  <si>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</si>
  <si>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</si>
  <si>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</si>
  <si>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</si>
  <si>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</si>
  <si>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</si>
  <si>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</si>
  <si>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</si>
  <si>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</si>
  <si>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</si>
  <si>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</si>
  <si>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</si>
  <si>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</si>
  <si>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</si>
  <si>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</si>
  <si>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</si>
  <si>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</si>
  <si>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</si>
  <si>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</si>
  <si>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</si>
  <si>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</si>
  <si>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</si>
  <si>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</si>
  <si>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</si>
  <si>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</si>
  <si>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</si>
  <si>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</si>
  <si>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</si>
  <si>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</si>
  <si>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</si>
  <si>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</si>
  <si>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</si>
  <si>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</si>
  <si>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</si>
  <si>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</si>
  <si>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</si>
  <si>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</si>
  <si>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</si>
  <si>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</si>
  <si>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</si>
  <si>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</si>
  <si>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</si>
  <si>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</si>
  <si>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</si>
  <si>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</si>
  <si>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</si>
  <si>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</si>
  <si>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</si>
  <si>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</si>
  <si>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</si>
  <si>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</si>
  <si>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</si>
  <si>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</si>
  <si>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</si>
  <si>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</si>
  <si>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</si>
  <si>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</si>
  <si>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</si>
  <si>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</si>
  <si>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</si>
  <si>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</si>
  <si>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</si>
  <si>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</si>
  <si>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</si>
  <si>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</si>
  <si>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</si>
  <si>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</si>
  <si>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</si>
  <si>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</si>
  <si>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</si>
  <si>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</si>
  <si>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</si>
  <si>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</si>
  <si>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</si>
  <si>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</si>
  <si>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</si>
  <si>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</si>
  <si>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</si>
  <si>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</si>
  <si>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</si>
  <si>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</si>
  <si>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</si>
  <si>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</si>
  <si>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</si>
  <si>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</si>
  <si>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</si>
  <si>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</si>
  <si>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</si>
  <si>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</si>
  <si>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</si>
  <si>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</si>
  <si>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</si>
  <si>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</si>
  <si>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</si>
  <si>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</si>
  <si>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</si>
  <si>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</si>
  <si>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</si>
  <si>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</si>
  <si>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</si>
  <si>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</si>
  <si>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</si>
  <si>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</si>
  <si>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</si>
  <si>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</si>
  <si>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</si>
  <si>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</si>
  <si>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</si>
  <si>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</si>
  <si>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</si>
  <si>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</si>
  <si>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</si>
  <si>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</si>
  <si>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</si>
  <si>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</si>
  <si>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</si>
  <si>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</si>
  <si>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</si>
  <si>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</si>
  <si>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</si>
  <si>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</si>
  <si>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</si>
  <si>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</si>
  <si>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</si>
  <si>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</si>
  <si>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</si>
  <si>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</si>
  <si>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</si>
  <si>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</si>
  <si>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</si>
  <si>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Jordbassin Klasse A</t>
  </si>
  <si>
    <t>Brønde</t>
  </si>
  <si>
    <t>Stik</t>
  </si>
  <si>
    <t>Ø 200 mm &lt; Ledningsnet ≤ Ø 500 mm</t>
  </si>
  <si>
    <t>Flow og niveaumålere</t>
  </si>
  <si>
    <t>Arbejdsplads</t>
  </si>
  <si>
    <t>Tryktransmittere</t>
  </si>
  <si>
    <t>Køretøjer, personbil</t>
  </si>
  <si>
    <t>Køretøjer, små lastvogne (&lt; 3.500 kg.)</t>
  </si>
  <si>
    <t>Efterklaringstanke, SRO</t>
  </si>
  <si>
    <t>Efterklaringstanke, Mek/El</t>
  </si>
  <si>
    <t>Efterklaringstanke, Konstruktioner</t>
  </si>
  <si>
    <t>Prøveudtager</t>
  </si>
  <si>
    <t>Envistyr</t>
  </si>
  <si>
    <t>Beluftningstanke, Mek/EL</t>
  </si>
  <si>
    <t>Sand- og fedtfang, Kontruktioner</t>
  </si>
  <si>
    <t>Slutafvanding, slam - højteknologisk (centrifuger), Mek/El</t>
  </si>
  <si>
    <t>Pumpestationer i brønde (&lt; 6,25 m2), Mek/EL</t>
  </si>
  <si>
    <t>Ledningsnet ≤ Ø 200 mm</t>
  </si>
  <si>
    <t>Pumpestationer i brønde (&lt; 6,25 m2), SRO</t>
  </si>
  <si>
    <t>IT</t>
  </si>
  <si>
    <t>Hjemmeside</t>
  </si>
  <si>
    <t>ERP system</t>
  </si>
  <si>
    <t>ESDH system</t>
  </si>
  <si>
    <t>Telefonsystem</t>
  </si>
  <si>
    <t>Datawarehouse</t>
  </si>
  <si>
    <t>PS rækværk</t>
  </si>
  <si>
    <t>Værksteder, garager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</si>
  <si>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</si>
  <si>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</si>
  <si>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</si>
  <si>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</si>
  <si>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</si>
  <si>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</si>
  <si>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</si>
  <si>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</si>
  <si>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</si>
  <si>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</si>
  <si>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</si>
  <si>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</si>
  <si>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</si>
  <si>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</si>
  <si>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</si>
  <si>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</si>
  <si>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</si>
  <si>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</si>
  <si>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</si>
  <si>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</si>
  <si>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</si>
  <si>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</si>
  <si>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</si>
  <si>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</si>
  <si>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</si>
  <si>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</si>
  <si>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</si>
  <si>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Tillæg til tilbagebetaling af vejbidrag givet i økonomisk ramme for 2017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</si>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</sst>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2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-27065327</v>
      </c>
      <c r="H9" s="23" t="s">
        <v>4</v>
      </c>
      <c r="I9" s="2"/>
    </row>
    <row r="10" spans="1:9" x14ac:dyDescent="0.25">
      <c r="A10" s="2"/>
      <c r="B10" s="89" t="s">
        <v>120</v>
      </c>
      <c r="C10" s="90"/>
      <c r="D10" s="90"/>
      <c r="E10" s="90"/>
      <c r="F10" s="91"/>
      <c r="G10" s="27">
        <v>-27065326.513227515</v>
      </c>
      <c r="H10" s="23" t="s">
        <v>4</v>
      </c>
      <c r="I10" s="2"/>
    </row>
    <row r="11" spans="1:9" x14ac:dyDescent="0.25">
      <c r="A11" s="2"/>
      <c r="B11" s="115" t="s">
        <v>45</v>
      </c>
      <c r="C11" s="116"/>
      <c r="D11" s="116"/>
      <c r="E11" s="116"/>
      <c r="F11" s="117"/>
      <c r="G11" s="57">
        <f>G9-G10</f>
        <v>-0.48677248507738113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0</v>
      </c>
      <c r="H12" s="23" t="s">
        <v>125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8" t="s">
        <v>3</v>
      </c>
      <c r="G9" s="118"/>
      <c r="H9" s="2"/>
    </row>
    <row r="10" spans="1:8" x14ac:dyDescent="0.25">
      <c r="A10" s="2"/>
      <c r="B10" s="47" t="s">
        <v>146</v>
      </c>
      <c r="C10" s="41">
        <v>2016</v>
      </c>
      <c r="D10" s="28">
        <v>50</v>
      </c>
      <c r="E10" s="27">
        <v>5747259.0199999996</v>
      </c>
      <c r="F10" s="12">
        <f>E10/D10</f>
        <v>114945.1804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15395681.42</v>
      </c>
      <c r="F11" s="12">
        <f t="shared" ref="F11:F51" si="0">E11/D11</f>
        <v>205275.75226666668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9237408.8499999996</v>
      </c>
      <c r="F12" s="12">
        <f t="shared" si="0"/>
        <v>123165.45133333333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36976143.700000003</v>
      </c>
      <c r="F13" s="12">
        <f t="shared" si="0"/>
        <v>493015.2493333334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10</v>
      </c>
      <c r="E14" s="27">
        <v>1810011.76</v>
      </c>
      <c r="F14" s="12">
        <f t="shared" si="0"/>
        <v>181001.17600000001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</v>
      </c>
      <c r="E15" s="27">
        <v>34553.29</v>
      </c>
      <c r="F15" s="12">
        <f t="shared" si="0"/>
        <v>6910.6580000000004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138736.67000000001</v>
      </c>
      <c r="F16" s="12">
        <f t="shared" si="0"/>
        <v>13873.667000000001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</v>
      </c>
      <c r="E17" s="27">
        <v>114580.67</v>
      </c>
      <c r="F17" s="12">
        <f t="shared" si="0"/>
        <v>22916.133999999998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5</v>
      </c>
      <c r="E18" s="27">
        <v>177322.14</v>
      </c>
      <c r="F18" s="12">
        <f t="shared" si="0"/>
        <v>35464.428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10</v>
      </c>
      <c r="E19" s="27">
        <v>1025344.19</v>
      </c>
      <c r="F19" s="12">
        <f t="shared" si="0"/>
        <v>102534.41899999999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20</v>
      </c>
      <c r="E20" s="27">
        <v>2050688.39</v>
      </c>
      <c r="F20" s="12">
        <f t="shared" si="0"/>
        <v>102534.41949999999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60</v>
      </c>
      <c r="E21" s="27">
        <v>7177409.3499999996</v>
      </c>
      <c r="F21" s="12">
        <f t="shared" si="0"/>
        <v>119623.48916666667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10</v>
      </c>
      <c r="E22" s="27">
        <v>33043.480000000003</v>
      </c>
      <c r="F22" s="12">
        <f t="shared" si="0"/>
        <v>3304.3480000000004</v>
      </c>
      <c r="G22" s="23" t="s">
        <v>4</v>
      </c>
      <c r="H22" s="2"/>
    </row>
    <row r="23" spans="1:8" x14ac:dyDescent="0.25">
      <c r="A23" s="2"/>
      <c r="B23" s="47" t="s">
        <v>159</v>
      </c>
      <c r="C23" s="41">
        <v>2016</v>
      </c>
      <c r="D23" s="28">
        <v>10</v>
      </c>
      <c r="E23" s="27">
        <v>377446.99</v>
      </c>
      <c r="F23" s="12">
        <f t="shared" si="0"/>
        <v>37744.699000000001</v>
      </c>
      <c r="G23" s="23" t="s">
        <v>4</v>
      </c>
      <c r="H23" s="2"/>
    </row>
    <row r="24" spans="1:8" x14ac:dyDescent="0.25">
      <c r="A24" s="2"/>
      <c r="B24" s="47" t="s">
        <v>160</v>
      </c>
      <c r="C24" s="41">
        <v>2016</v>
      </c>
      <c r="D24" s="28">
        <v>20</v>
      </c>
      <c r="E24" s="27">
        <v>881744.51</v>
      </c>
      <c r="F24" s="12">
        <f t="shared" si="0"/>
        <v>44087.2255</v>
      </c>
      <c r="G24" s="23" t="s">
        <v>4</v>
      </c>
      <c r="H24" s="2"/>
    </row>
    <row r="25" spans="1:8" x14ac:dyDescent="0.25">
      <c r="A25" s="2"/>
      <c r="B25" s="47" t="s">
        <v>161</v>
      </c>
      <c r="C25" s="41">
        <v>2016</v>
      </c>
      <c r="D25" s="28">
        <v>60</v>
      </c>
      <c r="E25" s="27">
        <v>50066.57</v>
      </c>
      <c r="F25" s="12">
        <f t="shared" si="0"/>
        <v>834.44283333333328</v>
      </c>
      <c r="G25" s="23" t="s">
        <v>4</v>
      </c>
      <c r="H25" s="2"/>
    </row>
    <row r="26" spans="1:8" x14ac:dyDescent="0.25">
      <c r="A26" s="2"/>
      <c r="B26" s="47" t="s">
        <v>160</v>
      </c>
      <c r="C26" s="41">
        <v>2016</v>
      </c>
      <c r="D26" s="28">
        <v>20</v>
      </c>
      <c r="E26" s="27">
        <v>112103.95</v>
      </c>
      <c r="F26" s="12">
        <f t="shared" si="0"/>
        <v>5605.1975000000002</v>
      </c>
      <c r="G26" s="23" t="s">
        <v>4</v>
      </c>
      <c r="H26" s="2"/>
    </row>
    <row r="27" spans="1:8" x14ac:dyDescent="0.25">
      <c r="A27" s="2"/>
      <c r="B27" s="47" t="s">
        <v>160</v>
      </c>
      <c r="C27" s="41">
        <v>2016</v>
      </c>
      <c r="D27" s="28">
        <v>20</v>
      </c>
      <c r="E27" s="27">
        <v>215950.15</v>
      </c>
      <c r="F27" s="12">
        <f t="shared" si="0"/>
        <v>10797.5075</v>
      </c>
      <c r="G27" s="23" t="s">
        <v>4</v>
      </c>
      <c r="H27" s="2"/>
    </row>
    <row r="28" spans="1:8" x14ac:dyDescent="0.25">
      <c r="A28" s="2"/>
      <c r="B28" s="47" t="s">
        <v>160</v>
      </c>
      <c r="C28" s="41">
        <v>2016</v>
      </c>
      <c r="D28" s="28">
        <v>20</v>
      </c>
      <c r="E28" s="27">
        <v>277538.34999999998</v>
      </c>
      <c r="F28" s="12">
        <f t="shared" si="0"/>
        <v>13876.9175</v>
      </c>
      <c r="G28" s="23" t="s">
        <v>4</v>
      </c>
      <c r="H28" s="2"/>
    </row>
    <row r="29" spans="1:8" ht="26.25" x14ac:dyDescent="0.25">
      <c r="A29" s="2"/>
      <c r="B29" s="47" t="s">
        <v>162</v>
      </c>
      <c r="C29" s="41">
        <v>2016</v>
      </c>
      <c r="D29" s="28">
        <v>20</v>
      </c>
      <c r="E29" s="27">
        <v>64318.61</v>
      </c>
      <c r="F29" s="12">
        <f t="shared" si="0"/>
        <v>3215.9304999999999</v>
      </c>
      <c r="G29" s="23" t="s">
        <v>4</v>
      </c>
      <c r="H29" s="2"/>
    </row>
    <row r="30" spans="1:8" x14ac:dyDescent="0.25">
      <c r="A30" s="2"/>
      <c r="B30" s="47" t="s">
        <v>161</v>
      </c>
      <c r="C30" s="41">
        <v>2016</v>
      </c>
      <c r="D30" s="28">
        <v>60</v>
      </c>
      <c r="E30" s="27">
        <v>421130.17</v>
      </c>
      <c r="F30" s="12">
        <f t="shared" si="0"/>
        <v>7018.836166666666</v>
      </c>
      <c r="G30" s="23" t="s">
        <v>4</v>
      </c>
      <c r="H30" s="2"/>
    </row>
    <row r="31" spans="1:8" x14ac:dyDescent="0.25">
      <c r="A31" s="2"/>
      <c r="B31" s="47" t="s">
        <v>160</v>
      </c>
      <c r="C31" s="41">
        <v>2016</v>
      </c>
      <c r="D31" s="28">
        <v>20</v>
      </c>
      <c r="E31" s="27">
        <v>219025.98</v>
      </c>
      <c r="F31" s="12">
        <f t="shared" si="0"/>
        <v>10951.299000000001</v>
      </c>
      <c r="G31" s="23" t="s">
        <v>4</v>
      </c>
      <c r="H31" s="2"/>
    </row>
    <row r="32" spans="1:8" x14ac:dyDescent="0.25">
      <c r="A32" s="2"/>
      <c r="B32" s="47" t="s">
        <v>156</v>
      </c>
      <c r="C32" s="41">
        <v>2016</v>
      </c>
      <c r="D32" s="28">
        <v>20</v>
      </c>
      <c r="E32" s="27">
        <v>83829.87</v>
      </c>
      <c r="F32" s="12">
        <f t="shared" si="0"/>
        <v>4191.4934999999996</v>
      </c>
      <c r="G32" s="23" t="s">
        <v>4</v>
      </c>
      <c r="H32" s="2"/>
    </row>
    <row r="33" spans="1:8" x14ac:dyDescent="0.25">
      <c r="A33" s="2"/>
      <c r="B33" s="47" t="s">
        <v>163</v>
      </c>
      <c r="C33" s="41">
        <v>2016</v>
      </c>
      <c r="D33" s="28">
        <v>20</v>
      </c>
      <c r="E33" s="27">
        <v>2351560.9</v>
      </c>
      <c r="F33" s="12">
        <f t="shared" si="0"/>
        <v>117578.045</v>
      </c>
      <c r="G33" s="23" t="s">
        <v>4</v>
      </c>
      <c r="H33" s="2"/>
    </row>
    <row r="34" spans="1:8" x14ac:dyDescent="0.25">
      <c r="A34" s="2"/>
      <c r="B34" s="47" t="s">
        <v>164</v>
      </c>
      <c r="C34" s="41">
        <v>2016</v>
      </c>
      <c r="D34" s="28">
        <v>75</v>
      </c>
      <c r="E34" s="27">
        <v>218363.17</v>
      </c>
      <c r="F34" s="12">
        <f t="shared" si="0"/>
        <v>2911.5089333333335</v>
      </c>
      <c r="G34" s="23" t="s">
        <v>4</v>
      </c>
      <c r="H34" s="2"/>
    </row>
    <row r="35" spans="1:8" x14ac:dyDescent="0.25">
      <c r="A35" s="2"/>
      <c r="B35" s="47" t="s">
        <v>165</v>
      </c>
      <c r="C35" s="41">
        <v>2016</v>
      </c>
      <c r="D35" s="28">
        <v>10</v>
      </c>
      <c r="E35" s="27">
        <v>176439.49</v>
      </c>
      <c r="F35" s="12">
        <f t="shared" si="0"/>
        <v>17643.949000000001</v>
      </c>
      <c r="G35" s="23" t="s">
        <v>4</v>
      </c>
      <c r="H35" s="2"/>
    </row>
    <row r="36" spans="1:8" x14ac:dyDescent="0.25">
      <c r="A36" s="2"/>
      <c r="B36" s="47" t="s">
        <v>163</v>
      </c>
      <c r="C36" s="41">
        <v>2016</v>
      </c>
      <c r="D36" s="28">
        <v>20</v>
      </c>
      <c r="E36" s="27">
        <v>28904.36</v>
      </c>
      <c r="F36" s="12">
        <f t="shared" si="0"/>
        <v>1445.2180000000001</v>
      </c>
      <c r="G36" s="23" t="s">
        <v>4</v>
      </c>
      <c r="H36" s="2"/>
    </row>
    <row r="37" spans="1:8" x14ac:dyDescent="0.25">
      <c r="A37" s="2"/>
      <c r="B37" s="47" t="s">
        <v>151</v>
      </c>
      <c r="C37" s="41">
        <v>2016</v>
      </c>
      <c r="D37" s="28">
        <v>5</v>
      </c>
      <c r="E37" s="27">
        <v>80833.14</v>
      </c>
      <c r="F37" s="12">
        <f t="shared" si="0"/>
        <v>16166.628000000001</v>
      </c>
      <c r="G37" s="23" t="s">
        <v>4</v>
      </c>
      <c r="H37" s="2"/>
    </row>
    <row r="38" spans="1:8" x14ac:dyDescent="0.25">
      <c r="A38" s="2"/>
      <c r="B38" s="47" t="s">
        <v>166</v>
      </c>
      <c r="C38" s="41">
        <v>2016</v>
      </c>
      <c r="D38" s="28">
        <v>5</v>
      </c>
      <c r="E38" s="27">
        <v>17563.23</v>
      </c>
      <c r="F38" s="12">
        <f t="shared" si="0"/>
        <v>3512.6459999999997</v>
      </c>
      <c r="G38" s="23" t="s">
        <v>4</v>
      </c>
      <c r="H38" s="2"/>
    </row>
    <row r="39" spans="1:8" x14ac:dyDescent="0.25">
      <c r="A39" s="2"/>
      <c r="B39" s="47" t="s">
        <v>153</v>
      </c>
      <c r="C39" s="41">
        <v>2016</v>
      </c>
      <c r="D39" s="28">
        <v>5</v>
      </c>
      <c r="E39" s="27">
        <v>33564.78</v>
      </c>
      <c r="F39" s="12">
        <f t="shared" si="0"/>
        <v>6712.9560000000001</v>
      </c>
      <c r="G39" s="23" t="s">
        <v>4</v>
      </c>
      <c r="H39" s="2"/>
    </row>
    <row r="40" spans="1:8" x14ac:dyDescent="0.25">
      <c r="A40" s="2"/>
      <c r="B40" s="47" t="s">
        <v>167</v>
      </c>
      <c r="C40" s="41">
        <v>2016</v>
      </c>
      <c r="D40" s="28">
        <v>5</v>
      </c>
      <c r="E40" s="27">
        <v>48505.23</v>
      </c>
      <c r="F40" s="12">
        <f t="shared" si="0"/>
        <v>9701.0460000000003</v>
      </c>
      <c r="G40" s="23" t="s">
        <v>4</v>
      </c>
      <c r="H40" s="2"/>
    </row>
    <row r="41" spans="1:8" x14ac:dyDescent="0.25">
      <c r="A41" s="2"/>
      <c r="B41" s="47" t="s">
        <v>168</v>
      </c>
      <c r="C41" s="41">
        <v>2016</v>
      </c>
      <c r="D41" s="28">
        <v>5</v>
      </c>
      <c r="E41" s="27">
        <v>595003.31000000006</v>
      </c>
      <c r="F41" s="12">
        <f t="shared" si="0"/>
        <v>119000.66200000001</v>
      </c>
      <c r="G41" s="23" t="s">
        <v>4</v>
      </c>
      <c r="H41" s="2"/>
    </row>
    <row r="42" spans="1:8" x14ac:dyDescent="0.25">
      <c r="A42" s="2"/>
      <c r="B42" s="47" t="s">
        <v>169</v>
      </c>
      <c r="C42" s="41">
        <v>2016</v>
      </c>
      <c r="D42" s="28">
        <v>5</v>
      </c>
      <c r="E42" s="27">
        <v>585148.05000000005</v>
      </c>
      <c r="F42" s="12">
        <f t="shared" si="0"/>
        <v>117029.61000000002</v>
      </c>
      <c r="G42" s="23" t="s">
        <v>4</v>
      </c>
      <c r="H42" s="2"/>
    </row>
    <row r="43" spans="1:8" x14ac:dyDescent="0.25">
      <c r="A43" s="2"/>
      <c r="B43" s="47" t="s">
        <v>170</v>
      </c>
      <c r="C43" s="41">
        <v>2016</v>
      </c>
      <c r="D43" s="28">
        <v>5</v>
      </c>
      <c r="E43" s="27">
        <v>46145.7</v>
      </c>
      <c r="F43" s="12">
        <f t="shared" si="0"/>
        <v>9229.14</v>
      </c>
      <c r="G43" s="23" t="s">
        <v>4</v>
      </c>
      <c r="H43" s="2"/>
    </row>
    <row r="44" spans="1:8" x14ac:dyDescent="0.25">
      <c r="A44" s="2"/>
      <c r="B44" s="47" t="s">
        <v>171</v>
      </c>
      <c r="C44" s="41">
        <v>2016</v>
      </c>
      <c r="D44" s="28">
        <v>5</v>
      </c>
      <c r="E44" s="27">
        <v>277913.78999999998</v>
      </c>
      <c r="F44" s="12">
        <f t="shared" si="0"/>
        <v>55582.757999999994</v>
      </c>
      <c r="G44" s="23" t="s">
        <v>4</v>
      </c>
      <c r="H44" s="2"/>
    </row>
    <row r="45" spans="1:8" x14ac:dyDescent="0.25">
      <c r="A45" s="2"/>
      <c r="B45" s="47" t="s">
        <v>172</v>
      </c>
      <c r="C45" s="41">
        <v>2016</v>
      </c>
      <c r="D45" s="28">
        <v>50</v>
      </c>
      <c r="E45" s="27">
        <v>81088.27</v>
      </c>
      <c r="F45" s="12">
        <f t="shared" si="0"/>
        <v>1621.7654</v>
      </c>
      <c r="G45" s="23" t="s">
        <v>4</v>
      </c>
      <c r="H45" s="2"/>
    </row>
    <row r="46" spans="1:8" x14ac:dyDescent="0.25">
      <c r="A46" s="2"/>
      <c r="B46" s="47" t="s">
        <v>164</v>
      </c>
      <c r="C46" s="41">
        <v>2016</v>
      </c>
      <c r="D46" s="28">
        <v>75</v>
      </c>
      <c r="E46" s="27">
        <v>1832216.0830000001</v>
      </c>
      <c r="F46" s="12">
        <f t="shared" si="0"/>
        <v>24429.547773333335</v>
      </c>
      <c r="G46" s="23" t="s">
        <v>4</v>
      </c>
      <c r="H46" s="2"/>
    </row>
    <row r="47" spans="1:8" x14ac:dyDescent="0.25">
      <c r="A47" s="2"/>
      <c r="B47" s="47" t="s">
        <v>173</v>
      </c>
      <c r="C47" s="41">
        <v>2016</v>
      </c>
      <c r="D47" s="28">
        <v>50</v>
      </c>
      <c r="E47" s="27">
        <v>190079.93</v>
      </c>
      <c r="F47" s="12">
        <f t="shared" si="0"/>
        <v>3801.5985999999998</v>
      </c>
      <c r="G47" s="23" t="s">
        <v>4</v>
      </c>
      <c r="H47" s="2"/>
    </row>
    <row r="48" spans="1:8" x14ac:dyDescent="0.25">
      <c r="A48" s="2"/>
      <c r="B48" s="47" t="s">
        <v>173</v>
      </c>
      <c r="C48" s="41">
        <v>2016</v>
      </c>
      <c r="D48" s="28">
        <v>50</v>
      </c>
      <c r="E48" s="27">
        <v>50178.76</v>
      </c>
      <c r="F48" s="12">
        <f t="shared" si="0"/>
        <v>1003.5752</v>
      </c>
      <c r="G48" s="23" t="s">
        <v>4</v>
      </c>
      <c r="H48" s="2"/>
    </row>
    <row r="49" spans="1:8" x14ac:dyDescent="0.25">
      <c r="A49" s="2"/>
      <c r="B49" s="47" t="s">
        <v>173</v>
      </c>
      <c r="C49" s="41">
        <v>2016</v>
      </c>
      <c r="D49" s="28">
        <v>50</v>
      </c>
      <c r="E49" s="27">
        <v>163397.21</v>
      </c>
      <c r="F49" s="12">
        <f t="shared" si="0"/>
        <v>3267.9441999999999</v>
      </c>
      <c r="G49" s="23" t="s">
        <v>4</v>
      </c>
      <c r="H49" s="2"/>
    </row>
    <row r="50" spans="1:8" x14ac:dyDescent="0.25">
      <c r="A50" s="2"/>
      <c r="B50" s="47" t="s">
        <v>147</v>
      </c>
      <c r="C50" s="41">
        <v>2016</v>
      </c>
      <c r="D50" s="28">
        <v>75</v>
      </c>
      <c r="E50" s="27">
        <v>1375384.58</v>
      </c>
      <c r="F50" s="12">
        <f t="shared" si="0"/>
        <v>18338.461066666667</v>
      </c>
      <c r="G50" s="23" t="s">
        <v>4</v>
      </c>
      <c r="H50" s="2"/>
    </row>
    <row r="51" spans="1:8" ht="26.25" x14ac:dyDescent="0.25">
      <c r="A51" s="2"/>
      <c r="B51" s="47" t="s">
        <v>162</v>
      </c>
      <c r="C51" s="41">
        <v>2016</v>
      </c>
      <c r="D51" s="28">
        <v>20</v>
      </c>
      <c r="E51" s="27">
        <v>35495.629999999997</v>
      </c>
      <c r="F51" s="12">
        <f t="shared" si="0"/>
        <v>1774.7814999999998</v>
      </c>
      <c r="G51" s="23" t="s">
        <v>4</v>
      </c>
      <c r="H51" s="2"/>
    </row>
    <row r="52" spans="1:8" x14ac:dyDescent="0.25">
      <c r="A52" s="2"/>
      <c r="B52" s="99" t="s">
        <v>76</v>
      </c>
      <c r="C52" s="100"/>
      <c r="D52" s="100"/>
      <c r="E52" s="101"/>
      <c r="F52" s="21">
        <f>SUM(F10:F51)</f>
        <v>2193639.7616733336</v>
      </c>
      <c r="G52" s="22" t="s">
        <v>4</v>
      </c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</sheetData>
  <sheetProtection password="DFE9" sheet="1" objects="1" scenarios="1"/>
  <mergeCells count="4">
    <mergeCell ref="B52:E5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8" t="s">
        <v>77</v>
      </c>
      <c r="C3" s="108"/>
      <c r="D3" s="108"/>
      <c r="E3" s="108"/>
      <c r="F3" s="108"/>
      <c r="G3" s="108"/>
      <c r="H3" s="108"/>
      <c r="I3" s="2"/>
    </row>
    <row r="4" spans="1:9" ht="15" customHeight="1" x14ac:dyDescent="0.25">
      <c r="A4" s="2"/>
      <c r="B4" s="108"/>
      <c r="C4" s="108"/>
      <c r="D4" s="108"/>
      <c r="E4" s="108"/>
      <c r="F4" s="108"/>
      <c r="G4" s="108"/>
      <c r="H4" s="10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190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89" t="s">
        <v>78</v>
      </c>
      <c r="C9" s="90"/>
      <c r="D9" s="90"/>
      <c r="E9" s="90"/>
      <c r="F9" s="91"/>
      <c r="G9" s="27">
        <v>4568222</v>
      </c>
      <c r="H9" s="23" t="s">
        <v>4</v>
      </c>
      <c r="I9" s="2"/>
    </row>
    <row r="10" spans="1:9" x14ac:dyDescent="0.25">
      <c r="A10" s="2"/>
      <c r="B10" s="89" t="s">
        <v>79</v>
      </c>
      <c r="C10" s="90"/>
      <c r="D10" s="90"/>
      <c r="E10" s="90"/>
      <c r="F10" s="91"/>
      <c r="G10" s="27">
        <v>4015333.46</v>
      </c>
      <c r="H10" s="23" t="s">
        <v>4</v>
      </c>
      <c r="I10" s="2"/>
    </row>
    <row r="11" spans="1:9" x14ac:dyDescent="0.25">
      <c r="A11" s="2"/>
      <c r="B11" s="99" t="s">
        <v>191</v>
      </c>
      <c r="C11" s="100"/>
      <c r="D11" s="100"/>
      <c r="E11" s="100"/>
      <c r="F11" s="101"/>
      <c r="G11" s="21">
        <f>G9-G10</f>
        <v>552888.54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192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89" t="s">
        <v>80</v>
      </c>
      <c r="C15" s="90"/>
      <c r="D15" s="90"/>
      <c r="E15" s="90"/>
      <c r="F15" s="91"/>
      <c r="G15" s="27">
        <v>90032.340000000011</v>
      </c>
      <c r="H15" s="23" t="s">
        <v>4</v>
      </c>
      <c r="I15" s="2"/>
    </row>
    <row r="16" spans="1:9" x14ac:dyDescent="0.25">
      <c r="A16" s="2"/>
      <c r="B16" s="89" t="s">
        <v>81</v>
      </c>
      <c r="C16" s="90"/>
      <c r="D16" s="90"/>
      <c r="E16" s="90"/>
      <c r="F16" s="91"/>
      <c r="G16" s="27">
        <v>1058996</v>
      </c>
      <c r="H16" s="23" t="s">
        <v>4</v>
      </c>
      <c r="I16" s="2"/>
    </row>
    <row r="17" spans="1:9" x14ac:dyDescent="0.25">
      <c r="A17" s="2"/>
      <c r="B17" s="99" t="s">
        <v>192</v>
      </c>
      <c r="C17" s="100"/>
      <c r="D17" s="100"/>
      <c r="E17" s="100"/>
      <c r="F17" s="101"/>
      <c r="G17" s="21">
        <f>G15-G16</f>
        <v>-968963.66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193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89" t="s">
        <v>82</v>
      </c>
      <c r="C21" s="90"/>
      <c r="D21" s="90"/>
      <c r="E21" s="90"/>
      <c r="F21" s="91"/>
      <c r="G21" s="27">
        <v>912792</v>
      </c>
      <c r="H21" s="23" t="s">
        <v>4</v>
      </c>
      <c r="I21" s="2"/>
    </row>
    <row r="22" spans="1:9" x14ac:dyDescent="0.25">
      <c r="A22" s="2"/>
      <c r="B22" s="89" t="s">
        <v>83</v>
      </c>
      <c r="C22" s="90"/>
      <c r="D22" s="90"/>
      <c r="E22" s="90"/>
      <c r="F22" s="91"/>
      <c r="G22" s="27">
        <v>850000</v>
      </c>
      <c r="H22" s="23" t="s">
        <v>4</v>
      </c>
      <c r="I22" s="2"/>
    </row>
    <row r="23" spans="1:9" x14ac:dyDescent="0.25">
      <c r="A23" s="2"/>
      <c r="B23" s="99" t="s">
        <v>193</v>
      </c>
      <c r="C23" s="100"/>
      <c r="D23" s="100"/>
      <c r="E23" s="100"/>
      <c r="F23" s="101"/>
      <c r="G23" s="21">
        <f>G21-G22</f>
        <v>62792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194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86" t="s">
        <v>84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85</v>
      </c>
      <c r="C28" s="90"/>
      <c r="D28" s="90"/>
      <c r="E28" s="90"/>
      <c r="F28" s="91"/>
      <c r="G28" s="27">
        <v>1042282</v>
      </c>
      <c r="H28" s="23" t="s">
        <v>4</v>
      </c>
      <c r="I28" s="2"/>
    </row>
    <row r="29" spans="1:9" ht="15" customHeight="1" x14ac:dyDescent="0.25">
      <c r="A29" s="2"/>
      <c r="B29" s="105" t="s">
        <v>194</v>
      </c>
      <c r="C29" s="106"/>
      <c r="D29" s="106"/>
      <c r="E29" s="106"/>
      <c r="F29" s="107"/>
      <c r="G29" s="21">
        <f>G27-G28</f>
        <v>-1042282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86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89" t="s">
        <v>87</v>
      </c>
      <c r="C33" s="90"/>
      <c r="D33" s="90"/>
      <c r="E33" s="90"/>
      <c r="F33" s="91"/>
      <c r="G33" s="12">
        <f>'Fane 8. Gen. inv. i 2016'!F52</f>
        <v>2193639.7616733336</v>
      </c>
      <c r="H33" s="23" t="s">
        <v>4</v>
      </c>
      <c r="I33" s="2"/>
    </row>
    <row r="34" spans="1:9" x14ac:dyDescent="0.25">
      <c r="A34" s="2"/>
      <c r="B34" s="89" t="s">
        <v>88</v>
      </c>
      <c r="C34" s="90"/>
      <c r="D34" s="90"/>
      <c r="E34" s="90"/>
      <c r="F34" s="91"/>
      <c r="G34" s="27">
        <v>2418095.2000000002</v>
      </c>
      <c r="H34" s="23" t="s">
        <v>4</v>
      </c>
      <c r="I34" s="2"/>
    </row>
    <row r="35" spans="1:9" x14ac:dyDescent="0.25">
      <c r="A35" s="2"/>
      <c r="B35" s="99" t="s">
        <v>86</v>
      </c>
      <c r="C35" s="100"/>
      <c r="D35" s="100"/>
      <c r="E35" s="100"/>
      <c r="F35" s="101"/>
      <c r="G35" s="21">
        <f>G33-G34</f>
        <v>-224455.4383266666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8" t="s">
        <v>89</v>
      </c>
      <c r="C3" s="108"/>
      <c r="D3" s="108"/>
      <c r="E3" s="108"/>
      <c r="F3" s="108"/>
      <c r="G3" s="108"/>
      <c r="H3" s="108"/>
      <c r="I3" s="2"/>
    </row>
    <row r="4" spans="1:9" ht="15" customHeight="1" x14ac:dyDescent="0.25">
      <c r="A4" s="2"/>
      <c r="B4" s="108"/>
      <c r="C4" s="108"/>
      <c r="D4" s="108"/>
      <c r="E4" s="108"/>
      <c r="F4" s="108"/>
      <c r="G4" s="108"/>
      <c r="H4" s="10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90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104101661.78951612</v>
      </c>
      <c r="H9" s="38" t="s">
        <v>4</v>
      </c>
      <c r="I9" s="2"/>
    </row>
    <row r="10" spans="1:9" x14ac:dyDescent="0.25">
      <c r="A10" s="2"/>
      <c r="B10" s="99" t="s">
        <v>92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49673945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93</v>
      </c>
      <c r="C12" s="90"/>
      <c r="D12" s="91"/>
      <c r="E12" s="27">
        <v>6778743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94</v>
      </c>
      <c r="C13" s="90"/>
      <c r="D13" s="91"/>
      <c r="E13" s="27">
        <v>382721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95</v>
      </c>
      <c r="C14" s="90"/>
      <c r="D14" s="91"/>
      <c r="E14" s="27">
        <v>4806435.2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61641844.200000003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14664569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14664569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-957281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-62163740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-63121021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13185392.200000003</v>
      </c>
      <c r="F28" s="38" t="s">
        <v>4</v>
      </c>
      <c r="G28" s="1">
        <f>IF(E28&lt;0,0,-E28)</f>
        <v>-13185392.200000003</v>
      </c>
      <c r="H28" s="38" t="s">
        <v>4</v>
      </c>
      <c r="I28" s="2"/>
    </row>
    <row r="29" spans="1:9" x14ac:dyDescent="0.25">
      <c r="A29" s="2"/>
      <c r="B29" s="99" t="s">
        <v>96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96</v>
      </c>
      <c r="C30" s="97"/>
      <c r="D30" s="98"/>
      <c r="E30" s="26">
        <v>4624821</v>
      </c>
      <c r="F30" s="38" t="s">
        <v>4</v>
      </c>
      <c r="G30" s="18">
        <f>-$E$30</f>
        <v>-4624821</v>
      </c>
      <c r="H30" s="38" t="s">
        <v>4</v>
      </c>
      <c r="I30" s="2"/>
    </row>
    <row r="31" spans="1:9" x14ac:dyDescent="0.25">
      <c r="A31" s="2"/>
      <c r="B31" s="119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78695215.069999993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2818625.93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81513841</v>
      </c>
      <c r="F35" s="38" t="s">
        <v>4</v>
      </c>
      <c r="G35" s="18">
        <f>-E35</f>
        <v>-81513841</v>
      </c>
      <c r="H35" s="38" t="s">
        <v>4</v>
      </c>
      <c r="I35" s="2"/>
    </row>
    <row r="36" spans="1:9" x14ac:dyDescent="0.25">
      <c r="A36" s="2"/>
      <c r="B36" s="99" t="s">
        <v>97</v>
      </c>
      <c r="C36" s="100"/>
      <c r="D36" s="100"/>
      <c r="E36" s="100"/>
      <c r="F36" s="101"/>
      <c r="G36" s="21">
        <f>$G$9+$G$28+$G$30+$G$35</f>
        <v>4777607.5895161182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126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187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116</v>
      </c>
      <c r="C9" s="94"/>
      <c r="D9" s="118" t="s">
        <v>47</v>
      </c>
      <c r="E9" s="118"/>
      <c r="F9" s="118" t="s">
        <v>127</v>
      </c>
      <c r="G9" s="118"/>
      <c r="H9" s="2"/>
    </row>
    <row r="10" spans="1:8" x14ac:dyDescent="0.25">
      <c r="A10" s="2"/>
      <c r="B10" s="120" t="s">
        <v>188</v>
      </c>
      <c r="C10" s="121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133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145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183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200</v>
      </c>
      <c r="C16" s="93"/>
      <c r="D16" s="93"/>
      <c r="E16" s="94"/>
      <c r="F16" s="118" t="s">
        <v>184</v>
      </c>
      <c r="G16" s="118"/>
      <c r="H16" s="2"/>
    </row>
    <row r="17" spans="1:8" x14ac:dyDescent="0.25">
      <c r="A17" s="2"/>
      <c r="B17" s="89" t="s">
        <v>196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185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186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8" t="s">
        <v>118</v>
      </c>
      <c r="C3" s="108"/>
      <c r="D3" s="108"/>
      <c r="E3" s="108"/>
      <c r="F3" s="108"/>
      <c r="G3" s="108"/>
      <c r="H3" s="2"/>
    </row>
    <row r="4" spans="1:8" ht="25.5" customHeight="1" x14ac:dyDescent="0.25">
      <c r="A4" s="2"/>
      <c r="B4" s="108"/>
      <c r="C4" s="108"/>
      <c r="D4" s="108"/>
      <c r="E4" s="108"/>
      <c r="F4" s="108"/>
      <c r="G4" s="108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117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119</v>
      </c>
      <c r="C9" s="46"/>
      <c r="D9" s="118" t="s">
        <v>47</v>
      </c>
      <c r="E9" s="118"/>
      <c r="F9" s="118" t="s">
        <v>127</v>
      </c>
      <c r="G9" s="118"/>
      <c r="H9" s="2"/>
    </row>
    <row r="10" spans="1:8" x14ac:dyDescent="0.25">
      <c r="A10" s="2"/>
      <c r="B10" s="35" t="s">
        <v>195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128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144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>
      <selection activeCell="E16" sqref="E16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109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98257094.263582751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6367877.1766961133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121</v>
      </c>
      <c r="C11" s="90"/>
      <c r="D11" s="91"/>
      <c r="E11" s="12">
        <f>'Fane 4. Ikke-påvirkelige omk.'!G20</f>
        <v>-1913709.9619494998</v>
      </c>
      <c r="F11" s="9" t="s">
        <v>4</v>
      </c>
      <c r="G11" s="13"/>
      <c r="H11" s="14"/>
      <c r="I11" s="2"/>
    </row>
    <row r="12" spans="1:9" ht="30" customHeight="1" x14ac:dyDescent="0.25">
      <c r="A12" s="2"/>
      <c r="B12" s="102" t="s">
        <v>201</v>
      </c>
      <c r="C12" s="87"/>
      <c r="D12" s="88"/>
      <c r="E12" s="12">
        <v>1100906</v>
      </c>
      <c r="F12" s="9" t="s">
        <v>4</v>
      </c>
      <c r="G12" s="13"/>
      <c r="H12" s="14"/>
      <c r="I12" s="2"/>
    </row>
    <row r="13" spans="1:9" x14ac:dyDescent="0.25">
      <c r="A13" s="2"/>
      <c r="B13" s="51" t="s">
        <v>198</v>
      </c>
      <c r="C13" s="49"/>
      <c r="D13" s="50"/>
      <c r="E13" s="12">
        <f>'Fane 5. Individuelt eff.krav'!G10</f>
        <v>-1244687.0189993551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129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130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183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131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132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123</v>
      </c>
      <c r="C20" s="90"/>
      <c r="D20" s="91"/>
      <c r="E20" s="12">
        <f>SUM(E9,E11:E18)*(E19/100)</f>
        <v>1683493.0574460935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1696469.4021499851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189</v>
      </c>
      <c r="C23" s="97"/>
      <c r="D23" s="98"/>
      <c r="E23" s="18">
        <f>SUM(E9,E11:E18,E20)-SUM(E21:E22)</f>
        <v>96186626.937930003</v>
      </c>
      <c r="F23" s="19" t="s">
        <v>4</v>
      </c>
      <c r="G23" s="18">
        <f>E23</f>
        <v>96186626.937930003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99" t="s">
        <v>98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105</v>
      </c>
      <c r="C27" s="87"/>
      <c r="D27" s="88"/>
      <c r="E27" s="12">
        <f>'Fane 9. Korrektion af PL2016'!G11</f>
        <v>552888.54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99</v>
      </c>
      <c r="C28" s="87"/>
      <c r="D28" s="88"/>
      <c r="E28" s="12">
        <f>'Fane 9. Korrektion af PL2016'!G17</f>
        <v>-968963.66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100</v>
      </c>
      <c r="C29" s="87"/>
      <c r="D29" s="88"/>
      <c r="E29" s="12">
        <f>'Fane 9. Korrektion af PL2016'!G23</f>
        <v>62792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101</v>
      </c>
      <c r="C30" s="87"/>
      <c r="D30" s="88"/>
      <c r="E30" s="12">
        <f>'Fane 9. Korrektion af PL2016'!G29</f>
        <v>-1042282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102</v>
      </c>
      <c r="C31" s="87"/>
      <c r="D31" s="88"/>
      <c r="E31" s="12">
        <f>'Fane 9. Korrektion af PL2016'!G35</f>
        <v>-224455.4383266666</v>
      </c>
      <c r="F31" s="9" t="s">
        <v>4</v>
      </c>
      <c r="G31" s="15"/>
      <c r="H31" s="14"/>
      <c r="I31" s="2"/>
    </row>
    <row r="32" spans="1:9" x14ac:dyDescent="0.25">
      <c r="A32" s="2"/>
      <c r="B32" s="92" t="s">
        <v>103</v>
      </c>
      <c r="C32" s="93"/>
      <c r="D32" s="94"/>
      <c r="E32" s="18">
        <f>SUM(E27:E31)</f>
        <v>-1620020.5583266667</v>
      </c>
      <c r="F32" s="19" t="s">
        <v>4</v>
      </c>
      <c r="G32" s="18">
        <f>E32</f>
        <v>-1620020.5583266667</v>
      </c>
      <c r="H32" s="19" t="s">
        <v>4</v>
      </c>
      <c r="I32" s="2"/>
    </row>
    <row r="33" spans="1:9" x14ac:dyDescent="0.25">
      <c r="A33" s="2"/>
      <c r="B33" s="99" t="s">
        <v>18</v>
      </c>
      <c r="C33" s="100"/>
      <c r="D33" s="100"/>
      <c r="E33" s="100"/>
      <c r="F33" s="100"/>
      <c r="G33" s="100"/>
      <c r="H33" s="101"/>
      <c r="I33" s="2"/>
    </row>
    <row r="34" spans="1:9" x14ac:dyDescent="0.25">
      <c r="A34" s="2"/>
      <c r="B34" s="92" t="s">
        <v>104</v>
      </c>
      <c r="C34" s="93"/>
      <c r="D34" s="94"/>
      <c r="E34" s="18">
        <f>'Fane 10. Kontrol af PL2016'!G36</f>
        <v>4777607.5895161182</v>
      </c>
      <c r="F34" s="19" t="s">
        <v>4</v>
      </c>
      <c r="G34" s="18">
        <f>E34</f>
        <v>4777607.5895161182</v>
      </c>
      <c r="H34" s="19" t="s">
        <v>4</v>
      </c>
      <c r="I34" s="2"/>
    </row>
    <row r="35" spans="1:9" x14ac:dyDescent="0.25">
      <c r="A35" s="2"/>
      <c r="B35" s="99" t="s">
        <v>62</v>
      </c>
      <c r="C35" s="100"/>
      <c r="D35" s="100"/>
      <c r="E35" s="100"/>
      <c r="F35" s="101"/>
      <c r="G35" s="21">
        <f>G23+G25+G32+G34</f>
        <v>99344213.969119459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6:D16"/>
    <mergeCell ref="B12:D12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>
      <selection activeCell="E14" sqref="E14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108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106</v>
      </c>
      <c r="C9" s="87"/>
      <c r="D9" s="88"/>
      <c r="E9" s="8">
        <f>'Fane 2.1. Økonomisk ramme 2018'!G23</f>
        <v>96186626.937930003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3"/>
      <c r="D10" s="104"/>
      <c r="E10" s="12">
        <f>(SUM('Fane 2.1. Økonomisk ramme 2018'!E10:E11,'Fane 2.1. Økonomisk ramme 2018'!E16))*(1+'Fane 2.1. Økonomisk ramme 2018'!E19/100)</f>
        <v>4532115.1410046788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2018'!E19/100</f>
        <v>1683265.9714137751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1694344.530259859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189</v>
      </c>
      <c r="C14" s="97"/>
      <c r="D14" s="98"/>
      <c r="E14" s="18">
        <f>$E$9+E11-$E$12-$E$13</f>
        <v>96175548.379083917</v>
      </c>
      <c r="F14" s="19" t="s">
        <v>4</v>
      </c>
      <c r="G14" s="18">
        <f>E14</f>
        <v>96175548.379083917</v>
      </c>
      <c r="H14" s="19" t="s">
        <v>4</v>
      </c>
      <c r="I14" s="2"/>
    </row>
    <row r="15" spans="1:9" x14ac:dyDescent="0.25">
      <c r="A15" s="2"/>
      <c r="B15" s="99" t="s">
        <v>17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55</v>
      </c>
      <c r="C16" s="93"/>
      <c r="D16" s="94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9" t="s">
        <v>107</v>
      </c>
      <c r="C17" s="100"/>
      <c r="D17" s="100"/>
      <c r="E17" s="100"/>
      <c r="F17" s="101"/>
      <c r="G17" s="21">
        <f>G14+G16</f>
        <v>96175548.379083917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view="pageLayout" zoomScaleNormal="100" workbookViewId="0">
      <selection activeCell="B8" sqref="B8:H17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202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203</v>
      </c>
      <c r="C9" s="87"/>
      <c r="D9" s="88"/>
      <c r="E9" s="8">
        <f>'Fane 2.2. Økonomisk ramme 2019'!G14</f>
        <v>96175548.379083917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3"/>
      <c r="D10" s="104"/>
      <c r="E10" s="12">
        <f>(SUM('Fane 2.1. Økonomisk ramme 2018'!E10:E11,'Fane 2.1. Økonomisk ramme 2018'!E16))*(1+'Fane 2.1. Økonomisk ramme 2018'!E19/100)^2</f>
        <v>4611427.155972261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2018'!E19/100</f>
        <v>1683072.0966339686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2018'!E19/100)^2*(1-'Fane 6. Generelt eff.krav'!G11/100)*'Fane 6. Generelt eff.krav'!G11/100+(('Fane 6. Generelt eff.krav'!G16/('Fane 6. Generelt eff.krav'!G15/100))-'Fane 6. Generelt eff.krav'!G16)*(1+'Fane 2.1. Økonomisk ramme 2018'!E19/100)^2*(1-'Fane 6. Generelt eff.krav'!G15/100)*'Fane 6. Generelt eff.krav'!G15/100</f>
        <v>1692224.3327985243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189</v>
      </c>
      <c r="C14" s="97"/>
      <c r="D14" s="98"/>
      <c r="E14" s="18">
        <f>$E$9+$E$11-$E$12-$E$13</f>
        <v>96166396.142919362</v>
      </c>
      <c r="F14" s="19" t="s">
        <v>4</v>
      </c>
      <c r="G14" s="18">
        <f>E14</f>
        <v>96166396.142919362</v>
      </c>
      <c r="H14" s="19" t="s">
        <v>4</v>
      </c>
      <c r="I14" s="2"/>
    </row>
    <row r="15" spans="1:9" x14ac:dyDescent="0.25">
      <c r="A15" s="2"/>
      <c r="B15" s="99" t="s">
        <v>17</v>
      </c>
      <c r="C15" s="100"/>
      <c r="D15" s="100"/>
      <c r="E15" s="100"/>
      <c r="F15" s="100"/>
      <c r="G15" s="100"/>
      <c r="H15" s="101"/>
      <c r="I15" s="2"/>
    </row>
    <row r="16" spans="1:9" ht="15" customHeight="1" x14ac:dyDescent="0.25">
      <c r="A16" s="2"/>
      <c r="B16" s="92" t="s">
        <v>55</v>
      </c>
      <c r="C16" s="93"/>
      <c r="D16" s="94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9" t="s">
        <v>204</v>
      </c>
      <c r="C17" s="100"/>
      <c r="D17" s="100"/>
      <c r="E17" s="100"/>
      <c r="F17" s="101"/>
      <c r="G17" s="21">
        <f>G14+G16</f>
        <v>96166396.142919362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205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206</v>
      </c>
      <c r="C9" s="87"/>
      <c r="D9" s="88"/>
      <c r="E9" s="8">
        <f>'Fane 2.3. Økonomisk ramme 2020'!G14</f>
        <v>96166396.142919362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3"/>
      <c r="D10" s="104"/>
      <c r="E10" s="12">
        <f>(SUM('Fane 2.1. Økonomisk ramme 2018'!E10:E11,'Fane 2.1. Økonomisk ramme 2018'!E16))*(1+'Fane 2.1. Økonomisk ramme 2018'!E19/100)^3</f>
        <v>4692127.1312017757</v>
      </c>
      <c r="F10" s="9" t="s">
        <v>4</v>
      </c>
      <c r="G10" s="13"/>
      <c r="H10" s="14"/>
      <c r="I10" s="2"/>
    </row>
    <row r="11" spans="1:9" x14ac:dyDescent="0.25">
      <c r="A11" s="2"/>
      <c r="B11" s="89" t="s">
        <v>61</v>
      </c>
      <c r="C11" s="90"/>
      <c r="D11" s="91"/>
      <c r="E11" s="12">
        <f>$E$9*'Fane 2.1. Økonomisk ramme 2018'!E19/100</f>
        <v>1682911.9325010891</v>
      </c>
      <c r="F11" s="9" t="s">
        <v>4</v>
      </c>
      <c r="G11" s="15"/>
      <c r="H11" s="14"/>
      <c r="I11" s="2"/>
    </row>
    <row r="12" spans="1:9" x14ac:dyDescent="0.25">
      <c r="A12" s="2"/>
      <c r="B12" s="89" t="s">
        <v>15</v>
      </c>
      <c r="C12" s="90"/>
      <c r="D12" s="91"/>
      <c r="E12" s="12">
        <f>($E$9-$E$10)*(1+'Fane 2.1. Økonomisk ramme 2018'!E19/100)*'Fane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60" t="s">
        <v>16</v>
      </c>
      <c r="C13" s="58"/>
      <c r="D13" s="59"/>
      <c r="E13" s="12">
        <f>(('Fane 6. Generelt eff.krav'!G12/('Fane 6. Generelt eff.krav'!G11/100)-'Fane 6. Generelt eff.krav'!G12))*(1+'Fane 2.1. Økonomisk ramme 2018'!E19/100)^3*(1-'Fane 6. Generelt eff.krav'!G11/100)^2*'Fane 6. Generelt eff.krav'!G11/100+(('Fane 6. Generelt eff.krav'!G16/('Fane 6. Generelt eff.krav'!G15/100))-'Fane 6. Generelt eff.krav'!G16)*(1+'Fane 2.1. Økonomisk ramme 2018'!E19/100)^3*(1-'Fane 6. Generelt eff.krav'!G15/100)^2*'Fane 6. Generelt eff.krav'!G15/100</f>
        <v>1690108.7971480563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189</v>
      </c>
      <c r="C14" s="97"/>
      <c r="D14" s="98"/>
      <c r="E14" s="18">
        <f>$E$9+$E$11-$E$12-$E$13</f>
        <v>96159199.27827239</v>
      </c>
      <c r="F14" s="19" t="s">
        <v>4</v>
      </c>
      <c r="G14" s="18">
        <f>E14</f>
        <v>96159199.27827239</v>
      </c>
      <c r="H14" s="19" t="s">
        <v>4</v>
      </c>
      <c r="I14" s="2"/>
    </row>
    <row r="15" spans="1:9" x14ac:dyDescent="0.25">
      <c r="A15" s="2"/>
      <c r="B15" s="99" t="s">
        <v>207</v>
      </c>
      <c r="C15" s="100"/>
      <c r="D15" s="100"/>
      <c r="E15" s="100"/>
      <c r="F15" s="101"/>
      <c r="G15" s="21">
        <f>G14</f>
        <v>96159199.27827239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8" t="s">
        <v>139</v>
      </c>
      <c r="C3" s="108"/>
      <c r="D3" s="108"/>
      <c r="E3" s="108"/>
      <c r="F3" s="108"/>
      <c r="G3" s="108"/>
      <c r="H3" s="108"/>
      <c r="I3" s="2"/>
    </row>
    <row r="4" spans="1:9" ht="29.25" customHeight="1" x14ac:dyDescent="0.25">
      <c r="A4" s="2"/>
      <c r="B4" s="108"/>
      <c r="C4" s="108"/>
      <c r="D4" s="108"/>
      <c r="E4" s="108"/>
      <c r="F4" s="108"/>
      <c r="G4" s="108"/>
      <c r="H4" s="10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141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110</v>
      </c>
      <c r="C9" s="90"/>
      <c r="D9" s="90"/>
      <c r="E9" s="90"/>
      <c r="F9" s="91"/>
      <c r="G9" s="27">
        <v>26996869.637650385</v>
      </c>
      <c r="H9" s="23" t="s">
        <v>4</v>
      </c>
      <c r="I9" s="2"/>
    </row>
    <row r="10" spans="1:9" x14ac:dyDescent="0.25">
      <c r="A10" s="2"/>
      <c r="B10" s="89" t="s">
        <v>111</v>
      </c>
      <c r="C10" s="90"/>
      <c r="D10" s="90"/>
      <c r="E10" s="90"/>
      <c r="F10" s="91"/>
      <c r="G10" s="27">
        <v>64892347.449236266</v>
      </c>
      <c r="H10" s="23" t="s">
        <v>4</v>
      </c>
      <c r="I10" s="2"/>
    </row>
    <row r="11" spans="1:9" x14ac:dyDescent="0.25">
      <c r="A11" s="2"/>
      <c r="B11" s="89" t="s">
        <v>138</v>
      </c>
      <c r="C11" s="90"/>
      <c r="D11" s="90"/>
      <c r="E11" s="90"/>
      <c r="F11" s="91"/>
      <c r="G11" s="27">
        <v>6367877.1766961133</v>
      </c>
      <c r="H11" s="23" t="s">
        <v>4</v>
      </c>
      <c r="I11" s="2"/>
    </row>
    <row r="12" spans="1:9" ht="17.25" customHeight="1" x14ac:dyDescent="0.25">
      <c r="A12" s="2"/>
      <c r="B12" s="105" t="s">
        <v>143</v>
      </c>
      <c r="C12" s="106"/>
      <c r="D12" s="106"/>
      <c r="E12" s="106"/>
      <c r="F12" s="107"/>
      <c r="G12" s="21">
        <f>SUM(G9:G11)</f>
        <v>98257094.263582751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113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115</v>
      </c>
      <c r="C9" s="93"/>
      <c r="D9" s="9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9" t="s">
        <v>174</v>
      </c>
      <c r="C10" s="110"/>
      <c r="D10" s="110"/>
      <c r="E10" s="56">
        <v>86547.863599999997</v>
      </c>
      <c r="F10" s="23" t="s">
        <v>4</v>
      </c>
      <c r="G10" s="27">
        <v>81324</v>
      </c>
      <c r="H10" s="23" t="s">
        <v>4</v>
      </c>
      <c r="I10" s="2"/>
    </row>
    <row r="11" spans="1:9" x14ac:dyDescent="0.25">
      <c r="A11" s="2"/>
      <c r="B11" s="109" t="s">
        <v>175</v>
      </c>
      <c r="C11" s="110"/>
      <c r="D11" s="110"/>
      <c r="E11" s="56">
        <v>373981.44959999999</v>
      </c>
      <c r="F11" s="23" t="s">
        <v>4</v>
      </c>
      <c r="G11" s="27">
        <v>412374</v>
      </c>
      <c r="H11" s="23" t="s">
        <v>4</v>
      </c>
      <c r="I11" s="2"/>
    </row>
    <row r="12" spans="1:9" x14ac:dyDescent="0.25">
      <c r="A12" s="2"/>
      <c r="B12" s="109" t="s">
        <v>176</v>
      </c>
      <c r="C12" s="110"/>
      <c r="D12" s="110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9" t="s">
        <v>177</v>
      </c>
      <c r="C13" s="110"/>
      <c r="D13" s="110"/>
      <c r="E13" s="56">
        <v>16199.208199999999</v>
      </c>
      <c r="F13" s="23" t="s">
        <v>4</v>
      </c>
      <c r="G13" s="27">
        <v>47251</v>
      </c>
      <c r="H13" s="23" t="s">
        <v>4</v>
      </c>
      <c r="I13" s="2"/>
    </row>
    <row r="14" spans="1:9" x14ac:dyDescent="0.25">
      <c r="A14" s="2"/>
      <c r="B14" s="109" t="s">
        <v>178</v>
      </c>
      <c r="C14" s="110"/>
      <c r="D14" s="110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9" t="s">
        <v>179</v>
      </c>
      <c r="C15" s="110"/>
      <c r="D15" s="110"/>
      <c r="E15" s="56">
        <v>1245957.3019999999</v>
      </c>
      <c r="F15" s="23" t="s">
        <v>4</v>
      </c>
      <c r="G15" s="27">
        <v>1209488</v>
      </c>
      <c r="H15" s="23" t="s">
        <v>4</v>
      </c>
      <c r="I15" s="2"/>
    </row>
    <row r="16" spans="1:9" x14ac:dyDescent="0.25">
      <c r="A16" s="2"/>
      <c r="B16" s="109" t="s">
        <v>180</v>
      </c>
      <c r="C16" s="110"/>
      <c r="D16" s="110"/>
      <c r="E16" s="56">
        <v>2483367.2080000001</v>
      </c>
      <c r="F16" s="23" t="s">
        <v>4</v>
      </c>
      <c r="G16" s="27">
        <v>2656785</v>
      </c>
      <c r="H16" s="23" t="s">
        <v>4</v>
      </c>
      <c r="I16" s="2"/>
    </row>
    <row r="17" spans="1:9" x14ac:dyDescent="0.25">
      <c r="A17" s="2"/>
      <c r="B17" s="109" t="s">
        <v>181</v>
      </c>
      <c r="C17" s="110"/>
      <c r="D17" s="110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9.25" customHeight="1" x14ac:dyDescent="0.25">
      <c r="A18" s="2"/>
      <c r="B18" s="111" t="s">
        <v>182</v>
      </c>
      <c r="C18" s="111"/>
      <c r="D18" s="111"/>
      <c r="E18" s="56">
        <v>2081965</v>
      </c>
      <c r="F18" s="23" t="s">
        <v>4</v>
      </c>
      <c r="G18" s="27">
        <v>0</v>
      </c>
      <c r="H18" s="23" t="s">
        <v>4</v>
      </c>
      <c r="I18" s="2"/>
    </row>
    <row r="19" spans="1:9" x14ac:dyDescent="0.25">
      <c r="A19" s="2"/>
      <c r="B19" s="99" t="s">
        <v>134</v>
      </c>
      <c r="C19" s="100"/>
      <c r="D19" s="100"/>
      <c r="E19" s="100"/>
      <c r="F19" s="101"/>
      <c r="G19" s="21">
        <f>SUM(G10:G18)-SUM(E10:E18)</f>
        <v>-1880796.0313999997</v>
      </c>
      <c r="H19" s="22" t="s">
        <v>4</v>
      </c>
      <c r="I19" s="2"/>
    </row>
    <row r="20" spans="1:9" x14ac:dyDescent="0.25">
      <c r="A20" s="2"/>
      <c r="B20" s="99" t="s">
        <v>135</v>
      </c>
      <c r="C20" s="100"/>
      <c r="D20" s="100"/>
      <c r="E20" s="100"/>
      <c r="F20" s="101"/>
      <c r="G20" s="21">
        <f>G19*(1+'Fane 2.1. Økonomisk ramme 2018'!E19/100)</f>
        <v>-1913709.9619494998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2018'!E14:E15,'Fane 2.1. Økonomisk ramme 2018'!E17:E18)</f>
        <v>91889217.086886644</v>
      </c>
      <c r="H9" s="23" t="s">
        <v>4</v>
      </c>
      <c r="I9" s="2"/>
    </row>
    <row r="10" spans="1:9" x14ac:dyDescent="0.25">
      <c r="A10" s="2"/>
      <c r="B10" s="48" t="s">
        <v>198</v>
      </c>
      <c r="C10" s="49"/>
      <c r="D10" s="49"/>
      <c r="E10" s="49"/>
      <c r="F10" s="50"/>
      <c r="G10" s="12">
        <v>-1244687.0189993551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2" t="s">
        <v>47</v>
      </c>
      <c r="C9" s="113"/>
      <c r="D9" s="113"/>
      <c r="E9" s="113"/>
      <c r="F9" s="114"/>
      <c r="G9" s="12">
        <f>'Fane 3. Korrigeret grundlag'!G9+(SUM('Fane 2.1. Økonomisk ramme 2018'!E14,'Fane 2.1. Økonomisk ramme 2018'!E17))</f>
        <v>26996869.637650385</v>
      </c>
      <c r="H9" s="23" t="s">
        <v>4</v>
      </c>
      <c r="I9" s="2"/>
    </row>
    <row r="10" spans="1:9" x14ac:dyDescent="0.25">
      <c r="A10" s="2"/>
      <c r="B10" s="52" t="s">
        <v>197</v>
      </c>
      <c r="C10" s="53"/>
      <c r="D10" s="53"/>
      <c r="E10" s="53"/>
      <c r="F10" s="54"/>
      <c r="G10" s="12">
        <v>-537641.15626500768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538445.29959619243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 xml:space="preserve"> 'Fane 3. Korrigeret grundlag'!G10+SUM('Fane 2.1. Økonomisk ramme 2018'!E15,'Fane 2.1. Økonomisk ramme 2018'!E18)</f>
        <v>64892347.449236266</v>
      </c>
      <c r="H13" s="23" t="s">
        <v>4</v>
      </c>
      <c r="I13" s="2"/>
    </row>
    <row r="14" spans="1:9" x14ac:dyDescent="0.25">
      <c r="A14" s="2"/>
      <c r="B14" s="48" t="s">
        <v>199</v>
      </c>
      <c r="C14" s="49"/>
      <c r="D14" s="49"/>
      <c r="E14" s="49"/>
      <c r="F14" s="50"/>
      <c r="G14" s="12">
        <v>-592504.16691461753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1158024.1025537925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1696469.4021499851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2017-10-13T18:38:30Z</dcterms:modified>
</cp:coreProperties>
</file>