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20" i="2" s="1"/>
  <c r="E15" i="13"/>
  <c r="F11" i="11"/>
  <c r="F21" i="11"/>
  <c r="E17" i="15" l="1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22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<sst xmlns="http://schemas.openxmlformats.org/spreadsheetml/2006/main" count="375" uniqueCount="191">
  <si>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</si>
  <si>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</si>
  <si>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</si>
  <si>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</si>
  <si>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</si>
  <si>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</si>
  <si>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</si>
  <si>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</si>
  <si>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</si>
  <si>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</si>
  <si>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</si>
  <si>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</si>
  <si>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</si>
  <si>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</si>
  <si>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</si>
  <si>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</si>
  <si>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</si>
  <si>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</si>
  <si>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</si>
  <si>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</si>
  <si>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</si>
  <si>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</si>
  <si>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</si>
  <si>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</si>
  <si>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</si>
  <si>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</si>
  <si>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</si>
  <si>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</si>
  <si>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</si>
  <si>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</si>
  <si>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</si>
  <si>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</si>
  <si>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</si>
  <si>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</si>
  <si>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</si>
  <si>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</si>
  <si>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</si>
  <si>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</si>
  <si>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</si>
  <si>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</si>
  <si>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</si>
  <si>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</si>
  <si>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</si>
  <si>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</si>
  <si>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</si>
  <si>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</si>
  <si>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</si>
  <si>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</si>
  <si>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</si>
  <si>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</si>
  <si>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</si>
  <si>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</si>
  <si>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</si>
  <si>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</si>
  <si>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</si>
  <si>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</si>
  <si>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</si>
  <si>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</si>
  <si>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</si>
  <si>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</si>
  <si>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</si>
  <si>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</si>
  <si>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</si>
  <si>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</si>
  <si>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</si>
  <si>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</si>
  <si>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</si>
  <si>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</si>
  <si>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</si>
  <si>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</si>
  <si>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</si>
  <si>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</si>
  <si>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</si>
  <si>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</si>
  <si>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</si>
  <si>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</si>
  <si>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</si>
  <si>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</si>
  <si>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</si>
  <si>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</si>
  <si>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</si>
  <si>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</si>
  <si>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</si>
  <si>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</si>
  <si>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</si>
  <si>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</si>
  <si>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</si>
  <si>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</si>
  <si>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</si>
  <si>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</si>
  <si>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</si>
  <si>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</si>
  <si>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</si>
  <si>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</si>
  <si>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</si>
  <si>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</si>
  <si>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</si>
  <si>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</si>
  <si>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</si>
  <si>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</si>
  <si>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</si>
  <si>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</si>
  <si>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</si>
  <si>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</si>
  <si>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</si>
  <si>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</si>
  <si>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</si>
  <si>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</si>
  <si>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</si>
  <si>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</si>
  <si>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</si>
  <si>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</si>
  <si>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</si>
  <si>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</si>
  <si>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</si>
  <si>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</si>
  <si>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</si>
  <si>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</si>
  <si>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</si>
  <si>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</si>
  <si>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</si>
  <si>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</si>
  <si>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</si>
  <si>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</si>
  <si>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</si>
  <si>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</si>
  <si>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</si>
  <si>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</si>
  <si>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</si>
  <si>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</si>
  <si>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</si>
  <si>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</si>
  <si>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</si>
  <si>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</si>
  <si>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</si>
  <si>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</si>
  <si>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</si>
  <si>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</si>
  <si>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</si>
  <si>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</si>
  <si>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</si>
  <si>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</si>
  <si>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</si>
  <si>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</si>
  <si>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</si>
  <si>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</si>
  <si>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</si>
  <si>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</si>
  <si>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</si>
  <si>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Ø 500 mm &lt; Ledningsnet ≤ Ø 800 mm</t>
  </si>
  <si>
    <t>Strømpeforing Ø 200 mm &lt; Ledningsnet ≤ Ø 500 mm</t>
  </si>
  <si>
    <t>Tryksatte minipumpestationer (husstandssystemer)</t>
  </si>
  <si>
    <t>Pumpestationer i brønde (&lt; 6,25 m2), Mek/EL</t>
  </si>
  <si>
    <t>Pumpestationer i brønde (&lt; 6,25 m2), SRO</t>
  </si>
  <si>
    <t>Arbejdsplads</t>
  </si>
  <si>
    <t>GPS</t>
  </si>
  <si>
    <t>Kamerahoved</t>
  </si>
  <si>
    <t>Køretøjer, entreprenørmaskiner</t>
  </si>
  <si>
    <t>Køretøjer, små lastvogne (&lt; 3.500 kg.)</t>
  </si>
  <si>
    <t>Køretøjer, store lastvogne (&gt;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</si>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</sst>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179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89" t="s">
        <v>80</v>
      </c>
      <c r="C9" s="90"/>
      <c r="D9" s="90"/>
      <c r="E9" s="90"/>
      <c r="F9" s="91"/>
      <c r="G9" s="27">
        <v>5743762.9900000002</v>
      </c>
      <c r="H9" s="23" t="s">
        <v>4</v>
      </c>
      <c r="I9" s="2"/>
    </row>
    <row r="10" spans="1:9" x14ac:dyDescent="0.25">
      <c r="A10" s="2"/>
      <c r="B10" s="89" t="s">
        <v>81</v>
      </c>
      <c r="C10" s="90"/>
      <c r="D10" s="90"/>
      <c r="E10" s="90"/>
      <c r="F10" s="91"/>
      <c r="G10" s="27">
        <v>5631258</v>
      </c>
      <c r="H10" s="23" t="s">
        <v>4</v>
      </c>
      <c r="I10" s="2"/>
    </row>
    <row r="11" spans="1:9" x14ac:dyDescent="0.25">
      <c r="A11" s="2"/>
      <c r="B11" s="99" t="s">
        <v>180</v>
      </c>
      <c r="C11" s="100"/>
      <c r="D11" s="100"/>
      <c r="E11" s="100"/>
      <c r="F11" s="101"/>
      <c r="G11" s="21">
        <f>G9-G10</f>
        <v>112504.99000000022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181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89" t="s">
        <v>82</v>
      </c>
      <c r="C15" s="90"/>
      <c r="D15" s="90"/>
      <c r="E15" s="90"/>
      <c r="F15" s="91"/>
      <c r="G15" s="27">
        <v>1402514</v>
      </c>
      <c r="H15" s="23" t="s">
        <v>4</v>
      </c>
      <c r="I15" s="2"/>
    </row>
    <row r="16" spans="1:9" x14ac:dyDescent="0.25">
      <c r="A16" s="2"/>
      <c r="B16" s="89" t="s">
        <v>83</v>
      </c>
      <c r="C16" s="90"/>
      <c r="D16" s="90"/>
      <c r="E16" s="90"/>
      <c r="F16" s="91"/>
      <c r="G16" s="27">
        <v>2849631</v>
      </c>
      <c r="H16" s="23" t="s">
        <v>4</v>
      </c>
      <c r="I16" s="2"/>
    </row>
    <row r="17" spans="1:9" x14ac:dyDescent="0.25">
      <c r="A17" s="2"/>
      <c r="B17" s="99" t="s">
        <v>181</v>
      </c>
      <c r="C17" s="100"/>
      <c r="D17" s="100"/>
      <c r="E17" s="100"/>
      <c r="F17" s="101"/>
      <c r="G17" s="21">
        <f>G15-G16</f>
        <v>-1447117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182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89" t="s">
        <v>84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89" t="s">
        <v>85</v>
      </c>
      <c r="C22" s="90"/>
      <c r="D22" s="90"/>
      <c r="E22" s="90"/>
      <c r="F22" s="91"/>
      <c r="G22" s="27">
        <v>0</v>
      </c>
      <c r="H22" s="23" t="s">
        <v>4</v>
      </c>
      <c r="I22" s="2"/>
    </row>
    <row r="23" spans="1:9" x14ac:dyDescent="0.25">
      <c r="A23" s="2"/>
      <c r="B23" s="99" t="s">
        <v>182</v>
      </c>
      <c r="C23" s="100"/>
      <c r="D23" s="100"/>
      <c r="E23" s="100"/>
      <c r="F23" s="101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183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86" t="s">
        <v>86</v>
      </c>
      <c r="C27" s="87"/>
      <c r="D27" s="87"/>
      <c r="E27" s="87"/>
      <c r="F27" s="88"/>
      <c r="G27" s="27">
        <v>0</v>
      </c>
      <c r="H27" s="23" t="s">
        <v>4</v>
      </c>
      <c r="I27" s="2"/>
    </row>
    <row r="28" spans="1:9" x14ac:dyDescent="0.25">
      <c r="A28" s="2"/>
      <c r="B28" s="89" t="s">
        <v>87</v>
      </c>
      <c r="C28" s="90"/>
      <c r="D28" s="90"/>
      <c r="E28" s="90"/>
      <c r="F28" s="91"/>
      <c r="G28" s="27">
        <v>0</v>
      </c>
      <c r="H28" s="23" t="s">
        <v>4</v>
      </c>
      <c r="I28" s="2"/>
    </row>
    <row r="29" spans="1:9" ht="15" customHeight="1" x14ac:dyDescent="0.25">
      <c r="A29" s="2"/>
      <c r="B29" s="104" t="s">
        <v>183</v>
      </c>
      <c r="C29" s="105"/>
      <c r="D29" s="105"/>
      <c r="E29" s="105"/>
      <c r="F29" s="106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89" t="s">
        <v>89</v>
      </c>
      <c r="C33" s="90"/>
      <c r="D33" s="90"/>
      <c r="E33" s="90"/>
      <c r="F33" s="91"/>
      <c r="G33" s="12">
        <f>'Fane 8. Gen. inv. i 2016'!F22</f>
        <v>2012703.75</v>
      </c>
      <c r="H33" s="23" t="s">
        <v>4</v>
      </c>
      <c r="I33" s="2"/>
    </row>
    <row r="34" spans="1:9" x14ac:dyDescent="0.25">
      <c r="A34" s="2"/>
      <c r="B34" s="89" t="s">
        <v>90</v>
      </c>
      <c r="C34" s="90"/>
      <c r="D34" s="90"/>
      <c r="E34" s="90"/>
      <c r="F34" s="91"/>
      <c r="G34" s="27">
        <v>3077416.666666667</v>
      </c>
      <c r="H34" s="23" t="s">
        <v>4</v>
      </c>
      <c r="I34" s="2"/>
    </row>
    <row r="35" spans="1:9" x14ac:dyDescent="0.25">
      <c r="A35" s="2"/>
      <c r="B35" s="99" t="s">
        <v>88</v>
      </c>
      <c r="C35" s="100"/>
      <c r="D35" s="100"/>
      <c r="E35" s="100"/>
      <c r="F35" s="101"/>
      <c r="G35" s="21">
        <f>G33-G34</f>
        <v>-1064712.916666667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99" t="s">
        <v>184</v>
      </c>
      <c r="C38" s="100"/>
      <c r="D38" s="100"/>
      <c r="E38" s="100"/>
      <c r="F38" s="100"/>
      <c r="G38" s="100"/>
      <c r="H38" s="101"/>
      <c r="I38" s="2"/>
    </row>
    <row r="39" spans="1:9" x14ac:dyDescent="0.25">
      <c r="A39" s="2"/>
      <c r="B39" s="89" t="s">
        <v>146</v>
      </c>
      <c r="C39" s="90"/>
      <c r="D39" s="90"/>
      <c r="E39" s="90"/>
      <c r="F39" s="91"/>
      <c r="G39" s="27">
        <v>971820</v>
      </c>
      <c r="H39" s="23" t="s">
        <v>4</v>
      </c>
      <c r="I39" s="2"/>
    </row>
    <row r="40" spans="1:9" x14ac:dyDescent="0.25">
      <c r="A40" s="2"/>
      <c r="B40" s="89" t="s">
        <v>79</v>
      </c>
      <c r="C40" s="90"/>
      <c r="D40" s="90"/>
      <c r="E40" s="90"/>
      <c r="F40" s="91"/>
      <c r="G40" s="27">
        <v>299157.05517292395</v>
      </c>
      <c r="H40" s="23" t="s">
        <v>4</v>
      </c>
      <c r="I40" s="2"/>
    </row>
    <row r="41" spans="1:9" x14ac:dyDescent="0.25">
      <c r="A41" s="2"/>
      <c r="B41" s="99" t="s">
        <v>184</v>
      </c>
      <c r="C41" s="100"/>
      <c r="D41" s="100"/>
      <c r="E41" s="100"/>
      <c r="F41" s="101"/>
      <c r="G41" s="21">
        <f>G39-G40</f>
        <v>672662.94482707605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92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96" t="s">
        <v>93</v>
      </c>
      <c r="C9" s="97"/>
      <c r="D9" s="97"/>
      <c r="E9" s="97"/>
      <c r="F9" s="98"/>
      <c r="G9" s="26">
        <v>155559428.18151164</v>
      </c>
      <c r="H9" s="38" t="s">
        <v>4</v>
      </c>
      <c r="I9" s="2"/>
    </row>
    <row r="10" spans="1:9" x14ac:dyDescent="0.25">
      <c r="A10" s="2"/>
      <c r="B10" s="99" t="s">
        <v>94</v>
      </c>
      <c r="C10" s="100"/>
      <c r="D10" s="100"/>
      <c r="E10" s="100"/>
      <c r="F10" s="100"/>
      <c r="G10" s="100"/>
      <c r="H10" s="101"/>
      <c r="I10" s="2"/>
    </row>
    <row r="11" spans="1:9" x14ac:dyDescent="0.25">
      <c r="A11" s="2"/>
      <c r="B11" s="89" t="s">
        <v>19</v>
      </c>
      <c r="C11" s="90"/>
      <c r="D11" s="91"/>
      <c r="E11" s="27">
        <v>80295882</v>
      </c>
      <c r="F11" s="23" t="s">
        <v>4</v>
      </c>
      <c r="G11" s="20"/>
      <c r="H11" s="42"/>
      <c r="I11" s="2"/>
    </row>
    <row r="12" spans="1:9" x14ac:dyDescent="0.25">
      <c r="A12" s="2"/>
      <c r="B12" s="89" t="s">
        <v>95</v>
      </c>
      <c r="C12" s="90"/>
      <c r="D12" s="91"/>
      <c r="E12" s="27">
        <v>10376310</v>
      </c>
      <c r="F12" s="23" t="s">
        <v>4</v>
      </c>
      <c r="G12" s="15"/>
      <c r="H12" s="43"/>
      <c r="I12" s="2"/>
    </row>
    <row r="13" spans="1:9" x14ac:dyDescent="0.25">
      <c r="A13" s="2"/>
      <c r="B13" s="89" t="s">
        <v>96</v>
      </c>
      <c r="C13" s="90"/>
      <c r="D13" s="91"/>
      <c r="E13" s="27">
        <v>2414772</v>
      </c>
      <c r="F13" s="23" t="s">
        <v>4</v>
      </c>
      <c r="G13" s="15"/>
      <c r="H13" s="43"/>
      <c r="I13" s="2"/>
    </row>
    <row r="14" spans="1:9" x14ac:dyDescent="0.25">
      <c r="A14" s="2"/>
      <c r="B14" s="89" t="s">
        <v>97</v>
      </c>
      <c r="C14" s="90"/>
      <c r="D14" s="91"/>
      <c r="E14" s="27">
        <v>2791583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95878547</v>
      </c>
      <c r="F15" s="38" t="s">
        <v>4</v>
      </c>
      <c r="G15" s="15"/>
      <c r="H15" s="43"/>
      <c r="I15" s="2"/>
    </row>
    <row r="16" spans="1:9" x14ac:dyDescent="0.25">
      <c r="A16" s="2"/>
      <c r="B16" s="89" t="s">
        <v>21</v>
      </c>
      <c r="C16" s="90"/>
      <c r="D16" s="91"/>
      <c r="E16" s="27">
        <v>6922959</v>
      </c>
      <c r="F16" s="23" t="s">
        <v>4</v>
      </c>
      <c r="G16" s="15"/>
      <c r="H16" s="43"/>
      <c r="I16" s="2"/>
    </row>
    <row r="17" spans="1:9" x14ac:dyDescent="0.25">
      <c r="A17" s="2"/>
      <c r="B17" s="89" t="s">
        <v>22</v>
      </c>
      <c r="C17" s="90"/>
      <c r="D17" s="91"/>
      <c r="E17" s="27">
        <v>113000</v>
      </c>
      <c r="F17" s="23" t="s">
        <v>4</v>
      </c>
      <c r="G17" s="15"/>
      <c r="H17" s="43"/>
      <c r="I17" s="2"/>
    </row>
    <row r="18" spans="1:9" x14ac:dyDescent="0.25">
      <c r="A18" s="2"/>
      <c r="B18" s="89" t="s">
        <v>23</v>
      </c>
      <c r="C18" s="90"/>
      <c r="D18" s="91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7035959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6" t="s">
        <v>25</v>
      </c>
      <c r="C20" s="87"/>
      <c r="D20" s="88"/>
      <c r="E20" s="27">
        <v>-1994717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6" t="s">
        <v>26</v>
      </c>
      <c r="C21" s="87"/>
      <c r="D21" s="88"/>
      <c r="E21" s="27">
        <v>-81118479</v>
      </c>
      <c r="F21" s="23" t="s">
        <v>4</v>
      </c>
      <c r="G21" s="15"/>
      <c r="H21" s="43"/>
      <c r="I21" s="2"/>
    </row>
    <row r="22" spans="1:9" x14ac:dyDescent="0.25">
      <c r="A22" s="2"/>
      <c r="B22" s="89" t="s">
        <v>27</v>
      </c>
      <c r="C22" s="90"/>
      <c r="D22" s="91"/>
      <c r="E22" s="27">
        <v>-17997618</v>
      </c>
      <c r="F22" s="23" t="s">
        <v>4</v>
      </c>
      <c r="G22" s="15"/>
      <c r="H22" s="43"/>
      <c r="I22" s="2"/>
    </row>
    <row r="23" spans="1:9" x14ac:dyDescent="0.25">
      <c r="A23" s="2"/>
      <c r="B23" s="89" t="s">
        <v>28</v>
      </c>
      <c r="C23" s="90"/>
      <c r="D23" s="91"/>
      <c r="E23" s="27">
        <v>-285480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6" t="s">
        <v>29</v>
      </c>
      <c r="C24" s="87"/>
      <c r="D24" s="88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6" t="s">
        <v>30</v>
      </c>
      <c r="C25" s="87"/>
      <c r="D25" s="88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6" t="s">
        <v>31</v>
      </c>
      <c r="C26" s="87"/>
      <c r="D26" s="88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-101396294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1518212</v>
      </c>
      <c r="F28" s="38" t="s">
        <v>4</v>
      </c>
      <c r="G28" s="1">
        <f>IF(E28&lt;0,0,-E28)</f>
        <v>-1518212</v>
      </c>
      <c r="H28" s="38" t="s">
        <v>4</v>
      </c>
      <c r="I28" s="2"/>
    </row>
    <row r="29" spans="1:9" x14ac:dyDescent="0.25">
      <c r="A29" s="2"/>
      <c r="B29" s="99" t="s">
        <v>98</v>
      </c>
      <c r="C29" s="100"/>
      <c r="D29" s="100"/>
      <c r="E29" s="100"/>
      <c r="F29" s="100"/>
      <c r="G29" s="100"/>
      <c r="H29" s="101"/>
      <c r="I29" s="2"/>
    </row>
    <row r="30" spans="1:9" x14ac:dyDescent="0.25">
      <c r="A30" s="2"/>
      <c r="B30" s="96" t="s">
        <v>98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7" t="s">
        <v>57</v>
      </c>
      <c r="C31" s="100"/>
      <c r="D31" s="100"/>
      <c r="E31" s="100"/>
      <c r="F31" s="100"/>
      <c r="G31" s="100"/>
      <c r="H31" s="101"/>
      <c r="I31" s="2"/>
    </row>
    <row r="32" spans="1:9" ht="30" customHeight="1" x14ac:dyDescent="0.25">
      <c r="A32" s="2"/>
      <c r="B32" s="86" t="s">
        <v>58</v>
      </c>
      <c r="C32" s="87"/>
      <c r="D32" s="88"/>
      <c r="E32" s="27">
        <v>116003265</v>
      </c>
      <c r="F32" s="23" t="s">
        <v>4</v>
      </c>
      <c r="G32" s="20"/>
      <c r="H32" s="42"/>
      <c r="I32" s="2"/>
    </row>
    <row r="33" spans="1:9" x14ac:dyDescent="0.25">
      <c r="A33" s="2"/>
      <c r="B33" s="89" t="s">
        <v>34</v>
      </c>
      <c r="C33" s="90"/>
      <c r="D33" s="91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6" t="s">
        <v>35</v>
      </c>
      <c r="C34" s="87"/>
      <c r="D34" s="88"/>
      <c r="E34" s="27">
        <v>6641490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122644755</v>
      </c>
      <c r="F35" s="38" t="s">
        <v>4</v>
      </c>
      <c r="G35" s="18">
        <f>-E35</f>
        <v>-122644755</v>
      </c>
      <c r="H35" s="38" t="s">
        <v>4</v>
      </c>
      <c r="I35" s="2"/>
    </row>
    <row r="36" spans="1:9" x14ac:dyDescent="0.25">
      <c r="A36" s="2"/>
      <c r="B36" s="99" t="s">
        <v>99</v>
      </c>
      <c r="C36" s="100"/>
      <c r="D36" s="100"/>
      <c r="E36" s="100"/>
      <c r="F36" s="101"/>
      <c r="G36" s="21">
        <f>$G$9+$G$28+$G$30+$G$35</f>
        <v>31396461.181511641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128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176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92" t="s">
        <v>118</v>
      </c>
      <c r="C9" s="94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118" t="s">
        <v>177</v>
      </c>
      <c r="C10" s="119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135</v>
      </c>
      <c r="C11" s="100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9" t="s">
        <v>148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9" t="s">
        <v>172</v>
      </c>
      <c r="C15" s="100"/>
      <c r="D15" s="100"/>
      <c r="E15" s="100"/>
      <c r="F15" s="100"/>
      <c r="G15" s="101"/>
      <c r="H15" s="2"/>
    </row>
    <row r="16" spans="1:8" ht="15" customHeight="1" x14ac:dyDescent="0.25">
      <c r="A16" s="2"/>
      <c r="B16" s="92" t="s">
        <v>190</v>
      </c>
      <c r="C16" s="93"/>
      <c r="D16" s="93"/>
      <c r="E16" s="94"/>
      <c r="F16" s="116" t="s">
        <v>173</v>
      </c>
      <c r="G16" s="116"/>
      <c r="H16" s="2"/>
    </row>
    <row r="17" spans="1:8" x14ac:dyDescent="0.25">
      <c r="A17" s="2"/>
      <c r="B17" s="89" t="s">
        <v>186</v>
      </c>
      <c r="C17" s="90"/>
      <c r="D17" s="90"/>
      <c r="E17" s="91"/>
      <c r="F17" s="27">
        <v>0</v>
      </c>
      <c r="G17" s="23" t="s">
        <v>4</v>
      </c>
      <c r="H17" s="2"/>
    </row>
    <row r="18" spans="1:8" x14ac:dyDescent="0.25">
      <c r="A18" s="2"/>
      <c r="B18" s="99" t="s">
        <v>174</v>
      </c>
      <c r="C18" s="100"/>
      <c r="D18" s="100"/>
      <c r="E18" s="101"/>
      <c r="F18" s="21">
        <f>SUM(F17:F17)</f>
        <v>0</v>
      </c>
      <c r="G18" s="22" t="s">
        <v>4</v>
      </c>
      <c r="H18" s="2"/>
    </row>
    <row r="19" spans="1:8" x14ac:dyDescent="0.25">
      <c r="A19" s="2"/>
      <c r="B19" s="99" t="s">
        <v>175</v>
      </c>
      <c r="C19" s="100"/>
      <c r="D19" s="100"/>
      <c r="E19" s="101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119</v>
      </c>
      <c r="C8" s="100"/>
      <c r="D8" s="100"/>
      <c r="E8" s="100"/>
      <c r="F8" s="100"/>
      <c r="G8" s="101"/>
      <c r="H8" s="2"/>
    </row>
    <row r="9" spans="1:8" ht="29.25" customHeight="1" x14ac:dyDescent="0.25">
      <c r="A9" s="2"/>
      <c r="B9" s="45" t="s">
        <v>121</v>
      </c>
      <c r="C9" s="46"/>
      <c r="D9" s="116" t="s">
        <v>47</v>
      </c>
      <c r="E9" s="116"/>
      <c r="F9" s="116" t="s">
        <v>129</v>
      </c>
      <c r="G9" s="116"/>
      <c r="H9" s="2"/>
    </row>
    <row r="10" spans="1:8" x14ac:dyDescent="0.25">
      <c r="A10" s="2"/>
      <c r="B10" s="35" t="s">
        <v>185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9" t="s">
        <v>130</v>
      </c>
      <c r="C11" s="101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9" t="s">
        <v>147</v>
      </c>
      <c r="C12" s="101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topLeftCell="A7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ht="15" customHeight="1" x14ac:dyDescent="0.25">
      <c r="A9" s="2"/>
      <c r="B9" s="86" t="s">
        <v>60</v>
      </c>
      <c r="C9" s="87"/>
      <c r="D9" s="88"/>
      <c r="E9" s="8">
        <f>'Fane 3. Korrigeret grundlag'!G12</f>
        <v>165304940.84215856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90"/>
      <c r="D10" s="91"/>
      <c r="E10" s="12">
        <f>'Fane 3. Korrigeret grundlag'!G11</f>
        <v>14640944.735122157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123</v>
      </c>
      <c r="C11" s="90"/>
      <c r="D11" s="91"/>
      <c r="E11" s="12">
        <f>'Fane 4. Ikke-påvirkelige omk.'!G19</f>
        <v>-9087957.5082889982</v>
      </c>
      <c r="F11" s="9" t="s">
        <v>4</v>
      </c>
      <c r="G11" s="13"/>
      <c r="H11" s="14"/>
      <c r="I11" s="2"/>
    </row>
    <row r="12" spans="1:9" x14ac:dyDescent="0.25">
      <c r="A12" s="2"/>
      <c r="B12" s="48" t="s">
        <v>188</v>
      </c>
      <c r="C12" s="49"/>
      <c r="D12" s="50"/>
      <c r="E12" s="12">
        <f>'Fane 5. Individuelt eff.krav'!G10</f>
        <v>-3317230.8362687295</v>
      </c>
      <c r="F12" s="9" t="s">
        <v>4</v>
      </c>
      <c r="G12" s="13"/>
      <c r="H12" s="14"/>
      <c r="I12" s="2"/>
    </row>
    <row r="13" spans="1:9" x14ac:dyDescent="0.25">
      <c r="A13" s="2"/>
      <c r="B13" s="95" t="s">
        <v>168</v>
      </c>
      <c r="C13" s="102"/>
      <c r="D13" s="103"/>
      <c r="E13" s="12">
        <f>'Fane 3. Korrigeret grundlag'!G22</f>
        <v>464763</v>
      </c>
      <c r="F13" s="9" t="s">
        <v>4</v>
      </c>
      <c r="G13" s="13"/>
      <c r="H13" s="14"/>
      <c r="I13" s="2"/>
    </row>
    <row r="14" spans="1:9" x14ac:dyDescent="0.25">
      <c r="A14" s="2"/>
      <c r="B14" s="86" t="s">
        <v>131</v>
      </c>
      <c r="C14" s="87"/>
      <c r="D14" s="88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6" t="s">
        <v>132</v>
      </c>
      <c r="C15" s="87"/>
      <c r="D15" s="88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86" t="s">
        <v>172</v>
      </c>
      <c r="C16" s="87"/>
      <c r="D16" s="88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86" t="s">
        <v>133</v>
      </c>
      <c r="C17" s="87"/>
      <c r="D17" s="88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86" t="s">
        <v>134</v>
      </c>
      <c r="C18" s="87"/>
      <c r="D18" s="88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95" t="s">
        <v>125</v>
      </c>
      <c r="C20" s="90"/>
      <c r="D20" s="91"/>
      <c r="E20" s="12">
        <f>SUM(E9,E11:E18)*(E19/100)</f>
        <v>2683879.0212080148</v>
      </c>
      <c r="F20" s="9" t="s">
        <v>4</v>
      </c>
      <c r="G20" s="13"/>
      <c r="H20" s="14"/>
      <c r="I20" s="2"/>
    </row>
    <row r="21" spans="1:9" x14ac:dyDescent="0.25">
      <c r="A21" s="2"/>
      <c r="B21" s="89" t="s">
        <v>15</v>
      </c>
      <c r="C21" s="90"/>
      <c r="D21" s="91"/>
      <c r="E21" s="12">
        <f>'Fane 5. Individuelt eff.krav'!G12</f>
        <v>3007964.6003101231</v>
      </c>
      <c r="F21" s="9" t="s">
        <v>4</v>
      </c>
      <c r="G21" s="15"/>
      <c r="H21" s="14"/>
      <c r="I21" s="2"/>
    </row>
    <row r="22" spans="1:9" x14ac:dyDescent="0.25">
      <c r="A22" s="2"/>
      <c r="B22" s="89" t="s">
        <v>16</v>
      </c>
      <c r="C22" s="90"/>
      <c r="D22" s="91"/>
      <c r="E22" s="12">
        <f>'Fane 6. Generelt eff.krav'!G17</f>
        <v>2791462.5969805424</v>
      </c>
      <c r="F22" s="9" t="s">
        <v>4</v>
      </c>
      <c r="G22" s="16"/>
      <c r="H22" s="17"/>
      <c r="I22" s="2"/>
    </row>
    <row r="23" spans="1:9" x14ac:dyDescent="0.25">
      <c r="A23" s="2"/>
      <c r="B23" s="96" t="s">
        <v>178</v>
      </c>
      <c r="C23" s="97"/>
      <c r="D23" s="98"/>
      <c r="E23" s="18">
        <f>SUM(E9,E11:E18,E20)-SUM(E21:E22)</f>
        <v>150248967.32151818</v>
      </c>
      <c r="F23" s="19" t="s">
        <v>4</v>
      </c>
      <c r="G23" s="18">
        <f>E23</f>
        <v>150248967.32151818</v>
      </c>
      <c r="H23" s="19" t="s">
        <v>4</v>
      </c>
      <c r="I23" s="2"/>
    </row>
    <row r="24" spans="1:9" x14ac:dyDescent="0.25">
      <c r="A24" s="2"/>
      <c r="B24" s="99" t="s">
        <v>17</v>
      </c>
      <c r="C24" s="100"/>
      <c r="D24" s="100"/>
      <c r="E24" s="100"/>
      <c r="F24" s="100"/>
      <c r="G24" s="100"/>
      <c r="H24" s="101"/>
      <c r="I24" s="2"/>
    </row>
    <row r="25" spans="1:9" x14ac:dyDescent="0.25">
      <c r="A25" s="2"/>
      <c r="B25" s="92" t="s">
        <v>55</v>
      </c>
      <c r="C25" s="93"/>
      <c r="D25" s="94"/>
      <c r="E25" s="18">
        <f>'Fane 7. Hist. over el. underdæk'!G13</f>
        <v>2035827.207231041</v>
      </c>
      <c r="F25" s="19" t="s">
        <v>4</v>
      </c>
      <c r="G25" s="18">
        <f>E25</f>
        <v>2035827.207231041</v>
      </c>
      <c r="H25" s="19" t="s">
        <v>4</v>
      </c>
      <c r="I25" s="2"/>
    </row>
    <row r="26" spans="1:9" x14ac:dyDescent="0.25">
      <c r="A26" s="2"/>
      <c r="B26" s="99" t="s">
        <v>100</v>
      </c>
      <c r="C26" s="100"/>
      <c r="D26" s="100"/>
      <c r="E26" s="100"/>
      <c r="F26" s="100"/>
      <c r="G26" s="100"/>
      <c r="H26" s="101"/>
      <c r="I26" s="2"/>
    </row>
    <row r="27" spans="1:9" x14ac:dyDescent="0.25">
      <c r="A27" s="2"/>
      <c r="B27" s="86" t="s">
        <v>107</v>
      </c>
      <c r="C27" s="87"/>
      <c r="D27" s="88"/>
      <c r="E27" s="12">
        <f>'Fane 9. Korrektion af PL2016'!G11</f>
        <v>112504.99000000022</v>
      </c>
      <c r="F27" s="9" t="s">
        <v>4</v>
      </c>
      <c r="G27" s="20"/>
      <c r="H27" s="11"/>
      <c r="I27" s="2"/>
    </row>
    <row r="28" spans="1:9" x14ac:dyDescent="0.25">
      <c r="A28" s="2"/>
      <c r="B28" s="86" t="s">
        <v>101</v>
      </c>
      <c r="C28" s="87"/>
      <c r="D28" s="88"/>
      <c r="E28" s="12">
        <f>'Fane 9. Korrektion af PL2016'!G17</f>
        <v>-1447117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86" t="s">
        <v>102</v>
      </c>
      <c r="C29" s="87"/>
      <c r="D29" s="88"/>
      <c r="E29" s="12">
        <f>'Fane 9. Korrektion af PL2016'!G23</f>
        <v>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86" t="s">
        <v>103</v>
      </c>
      <c r="C30" s="87"/>
      <c r="D30" s="88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86" t="s">
        <v>104</v>
      </c>
      <c r="C31" s="87"/>
      <c r="D31" s="88"/>
      <c r="E31" s="12">
        <f>'Fane 9. Korrektion af PL2016'!G35</f>
        <v>-1064712.916666667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86" t="s">
        <v>78</v>
      </c>
      <c r="C32" s="87"/>
      <c r="D32" s="88"/>
      <c r="E32" s="12">
        <f>'Fane 9. Korrektion af PL2016'!G41</f>
        <v>672662.94482707605</v>
      </c>
      <c r="F32" s="9" t="s">
        <v>4</v>
      </c>
      <c r="G32" s="16"/>
      <c r="H32" s="17"/>
      <c r="I32" s="2"/>
    </row>
    <row r="33" spans="1:9" x14ac:dyDescent="0.25">
      <c r="A33" s="2"/>
      <c r="B33" s="92" t="s">
        <v>105</v>
      </c>
      <c r="C33" s="93"/>
      <c r="D33" s="94"/>
      <c r="E33" s="18">
        <f>SUM(E27:E32)</f>
        <v>-1726661.9818395907</v>
      </c>
      <c r="F33" s="19" t="s">
        <v>4</v>
      </c>
      <c r="G33" s="18">
        <f>E33</f>
        <v>-1726661.9818395907</v>
      </c>
      <c r="H33" s="19" t="s">
        <v>4</v>
      </c>
      <c r="I33" s="2"/>
    </row>
    <row r="34" spans="1:9" x14ac:dyDescent="0.25">
      <c r="A34" s="2"/>
      <c r="B34" s="99" t="s">
        <v>18</v>
      </c>
      <c r="C34" s="100"/>
      <c r="D34" s="100"/>
      <c r="E34" s="100"/>
      <c r="F34" s="100"/>
      <c r="G34" s="100"/>
      <c r="H34" s="101"/>
      <c r="I34" s="2"/>
    </row>
    <row r="35" spans="1:9" x14ac:dyDescent="0.25">
      <c r="A35" s="2"/>
      <c r="B35" s="92" t="s">
        <v>106</v>
      </c>
      <c r="C35" s="93"/>
      <c r="D35" s="94"/>
      <c r="E35" s="18">
        <f>'Fane 10. Kontrol af PL2016'!G36</f>
        <v>31396461.181511641</v>
      </c>
      <c r="F35" s="19" t="s">
        <v>4</v>
      </c>
      <c r="G35" s="18">
        <f>E35</f>
        <v>31396461.181511641</v>
      </c>
      <c r="H35" s="19" t="s">
        <v>4</v>
      </c>
      <c r="I35" s="2"/>
    </row>
    <row r="36" spans="1:9" x14ac:dyDescent="0.25">
      <c r="A36" s="2"/>
      <c r="B36" s="99" t="s">
        <v>62</v>
      </c>
      <c r="C36" s="100"/>
      <c r="D36" s="100"/>
      <c r="E36" s="100"/>
      <c r="F36" s="101"/>
      <c r="G36" s="21">
        <f>G23+G25+G33+G35</f>
        <v>181954593.72842127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110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56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6" t="s">
        <v>108</v>
      </c>
      <c r="C9" s="87"/>
      <c r="D9" s="88"/>
      <c r="E9" s="8">
        <f>'Fane 2.1. Økonomisk ramme 2018'!G23-'Fane 2.1. Økonomisk ramme 2018'!E13*(1+0.0175)*(1-0.02-'Fane 5. Individuelt eff.krav'!G11/100)</f>
        <v>149794986.82311818</v>
      </c>
      <c r="F9" s="9" t="s">
        <v>4</v>
      </c>
      <c r="G9" s="10"/>
      <c r="H9" s="11"/>
      <c r="I9" s="2"/>
    </row>
    <row r="10" spans="1:9" x14ac:dyDescent="0.25">
      <c r="A10" s="2"/>
      <c r="B10" s="95" t="s">
        <v>46</v>
      </c>
      <c r="C10" s="102"/>
      <c r="D10" s="103"/>
      <c r="E10" s="12">
        <f>(SUM('Fane 2.1. Økonomisk ramme 2018'!E10:E11,'Fane 2.1. Økonomisk ramme 2018'!E16))*(1+'Fane 2.1. Økonomisk ramme 2018'!E19/100)</f>
        <v>5650164.5033027399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168</v>
      </c>
      <c r="C11" s="59"/>
      <c r="D11" s="60"/>
      <c r="E11" s="12">
        <v>459685</v>
      </c>
      <c r="F11" s="9" t="s">
        <v>4</v>
      </c>
      <c r="G11" s="13"/>
      <c r="H11" s="14"/>
      <c r="I11" s="2"/>
    </row>
    <row r="12" spans="1:9" x14ac:dyDescent="0.25">
      <c r="A12" s="2"/>
      <c r="B12" s="89" t="s">
        <v>61</v>
      </c>
      <c r="C12" s="90"/>
      <c r="D12" s="91"/>
      <c r="E12" s="12">
        <f>($E$9+E11)*'Fane 2.1. Økonomisk ramme 2018'!E19/100</f>
        <v>2629456.7569045681</v>
      </c>
      <c r="F12" s="9" t="s">
        <v>4</v>
      </c>
      <c r="G12" s="15"/>
      <c r="H12" s="14"/>
      <c r="I12" s="2"/>
    </row>
    <row r="13" spans="1:9" x14ac:dyDescent="0.25">
      <c r="A13" s="2"/>
      <c r="B13" s="89" t="s">
        <v>15</v>
      </c>
      <c r="C13" s="90"/>
      <c r="D13" s="91"/>
      <c r="E13" s="12">
        <f>($E$9+E11-$E$10)*(1+'Fane 2.1. Økonomisk ramme 2018'!E19/100)*'Fane 5. Individuelt eff.krav'!$G$11/100</f>
        <v>2942701.7239582445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2797288.4391125096</v>
      </c>
      <c r="F14" s="9" t="s">
        <v>4</v>
      </c>
      <c r="G14" s="16"/>
      <c r="H14" s="17"/>
      <c r="I14" s="2"/>
    </row>
    <row r="15" spans="1:9" x14ac:dyDescent="0.25">
      <c r="A15" s="2"/>
      <c r="B15" s="96" t="s">
        <v>178</v>
      </c>
      <c r="C15" s="97"/>
      <c r="D15" s="98"/>
      <c r="E15" s="18">
        <f>$E$9+$E$12-$E$13-$E$14+E11</f>
        <v>147144138.41695198</v>
      </c>
      <c r="F15" s="19" t="s">
        <v>4</v>
      </c>
      <c r="G15" s="18">
        <f>E15</f>
        <v>147144138.41695198</v>
      </c>
      <c r="H15" s="19" t="s">
        <v>4</v>
      </c>
      <c r="I15" s="2"/>
    </row>
    <row r="16" spans="1:9" x14ac:dyDescent="0.25">
      <c r="A16" s="2"/>
      <c r="B16" s="99" t="s">
        <v>17</v>
      </c>
      <c r="C16" s="100"/>
      <c r="D16" s="100"/>
      <c r="E16" s="100"/>
      <c r="F16" s="100"/>
      <c r="G16" s="100"/>
      <c r="H16" s="101"/>
      <c r="I16" s="2"/>
    </row>
    <row r="17" spans="1:9" ht="15" customHeight="1" x14ac:dyDescent="0.25">
      <c r="A17" s="2"/>
      <c r="B17" s="92" t="s">
        <v>55</v>
      </c>
      <c r="C17" s="93"/>
      <c r="D17" s="94"/>
      <c r="E17" s="18">
        <f>IF('Fane 7. Hist. over el. underdæk'!$G$12&gt;1,'Fane 7. Hist. over el. underdæk'!$G$13,0)</f>
        <v>2035827.207231041</v>
      </c>
      <c r="F17" s="19" t="s">
        <v>4</v>
      </c>
      <c r="G17" s="18">
        <f>E17</f>
        <v>2035827.207231041</v>
      </c>
      <c r="H17" s="19" t="s">
        <v>4</v>
      </c>
      <c r="I17" s="2"/>
    </row>
    <row r="18" spans="1:9" x14ac:dyDescent="0.25">
      <c r="A18" s="2"/>
      <c r="B18" s="99" t="s">
        <v>109</v>
      </c>
      <c r="C18" s="100"/>
      <c r="D18" s="100"/>
      <c r="E18" s="100"/>
      <c r="F18" s="101"/>
      <c r="G18" s="21">
        <f>G15+G17</f>
        <v>149179965.62418303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143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112</v>
      </c>
      <c r="C9" s="90"/>
      <c r="D9" s="90"/>
      <c r="E9" s="90"/>
      <c r="F9" s="91"/>
      <c r="G9" s="27">
        <v>44655150.11519067</v>
      </c>
      <c r="H9" s="23" t="s">
        <v>4</v>
      </c>
      <c r="I9" s="2"/>
    </row>
    <row r="10" spans="1:9" x14ac:dyDescent="0.25">
      <c r="A10" s="2"/>
      <c r="B10" s="89" t="s">
        <v>113</v>
      </c>
      <c r="C10" s="90"/>
      <c r="D10" s="90"/>
      <c r="E10" s="90"/>
      <c r="F10" s="91"/>
      <c r="G10" s="27">
        <v>106008845.99184576</v>
      </c>
      <c r="H10" s="23" t="s">
        <v>4</v>
      </c>
      <c r="I10" s="2"/>
    </row>
    <row r="11" spans="1:9" x14ac:dyDescent="0.25">
      <c r="A11" s="2"/>
      <c r="B11" s="89" t="s">
        <v>140</v>
      </c>
      <c r="C11" s="90"/>
      <c r="D11" s="90"/>
      <c r="E11" s="90"/>
      <c r="F11" s="91"/>
      <c r="G11" s="27">
        <v>14640944.735122157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165304940.84215856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99" t="s">
        <v>168</v>
      </c>
      <c r="C19" s="100"/>
      <c r="D19" s="100"/>
      <c r="E19" s="100"/>
      <c r="F19" s="100"/>
      <c r="G19" s="100"/>
      <c r="H19" s="101"/>
      <c r="I19" s="2"/>
    </row>
    <row r="20" spans="1:9" x14ac:dyDescent="0.25">
      <c r="A20" s="2"/>
      <c r="B20" s="89" t="s">
        <v>169</v>
      </c>
      <c r="C20" s="90"/>
      <c r="D20" s="90"/>
      <c r="E20" s="90"/>
      <c r="F20" s="91"/>
      <c r="G20" s="27">
        <v>464763</v>
      </c>
      <c r="H20" s="23" t="s">
        <v>4</v>
      </c>
      <c r="I20" s="2"/>
    </row>
    <row r="21" spans="1:9" x14ac:dyDescent="0.25">
      <c r="A21" s="2"/>
      <c r="B21" s="89" t="s">
        <v>170</v>
      </c>
      <c r="C21" s="90"/>
      <c r="D21" s="90"/>
      <c r="E21" s="90"/>
      <c r="F21" s="91"/>
      <c r="G21" s="27">
        <v>0</v>
      </c>
      <c r="H21" s="23" t="s">
        <v>4</v>
      </c>
      <c r="I21" s="2"/>
    </row>
    <row r="22" spans="1:9" x14ac:dyDescent="0.25">
      <c r="A22" s="2"/>
      <c r="B22" s="104" t="s">
        <v>171</v>
      </c>
      <c r="C22" s="105"/>
      <c r="D22" s="105"/>
      <c r="E22" s="105"/>
      <c r="F22" s="106"/>
      <c r="G22" s="21">
        <f>SUM(G20:G21)</f>
        <v>464763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114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115</v>
      </c>
      <c r="C8" s="100"/>
      <c r="D8" s="100"/>
      <c r="E8" s="100"/>
      <c r="F8" s="100"/>
      <c r="G8" s="100"/>
      <c r="H8" s="101"/>
      <c r="I8" s="2"/>
    </row>
    <row r="9" spans="1:9" ht="51.75" customHeight="1" x14ac:dyDescent="0.25">
      <c r="A9" s="2"/>
      <c r="B9" s="92" t="s">
        <v>117</v>
      </c>
      <c r="C9" s="93"/>
      <c r="D9" s="94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160</v>
      </c>
      <c r="C10" s="109"/>
      <c r="D10" s="109"/>
      <c r="E10" s="56">
        <v>34749.448400000001</v>
      </c>
      <c r="F10" s="23" t="s">
        <v>4</v>
      </c>
      <c r="G10" s="27">
        <v>34884</v>
      </c>
      <c r="H10" s="23" t="s">
        <v>4</v>
      </c>
      <c r="I10" s="2"/>
    </row>
    <row r="11" spans="1:9" x14ac:dyDescent="0.25">
      <c r="A11" s="2"/>
      <c r="B11" s="108" t="s">
        <v>161</v>
      </c>
      <c r="C11" s="109"/>
      <c r="D11" s="109"/>
      <c r="E11" s="56">
        <v>264588.72759999998</v>
      </c>
      <c r="F11" s="23" t="s">
        <v>4</v>
      </c>
      <c r="G11" s="27">
        <v>273618.99</v>
      </c>
      <c r="H11" s="23" t="s">
        <v>4</v>
      </c>
      <c r="I11" s="2"/>
    </row>
    <row r="12" spans="1:9" x14ac:dyDescent="0.25">
      <c r="A12" s="2"/>
      <c r="B12" s="108" t="s">
        <v>162</v>
      </c>
      <c r="C12" s="109"/>
      <c r="D12" s="109"/>
      <c r="E12" s="56">
        <v>10770383.4254</v>
      </c>
      <c r="F12" s="23" t="s">
        <v>4</v>
      </c>
      <c r="G12" s="27">
        <v>2414802</v>
      </c>
      <c r="H12" s="23" t="s">
        <v>4</v>
      </c>
      <c r="I12" s="2"/>
    </row>
    <row r="13" spans="1:9" x14ac:dyDescent="0.25">
      <c r="A13" s="2"/>
      <c r="B13" s="108" t="s">
        <v>163</v>
      </c>
      <c r="C13" s="109"/>
      <c r="D13" s="109"/>
      <c r="E13" s="56">
        <v>32399.4126</v>
      </c>
      <c r="F13" s="23" t="s">
        <v>4</v>
      </c>
      <c r="G13" s="27">
        <v>72329</v>
      </c>
      <c r="H13" s="23" t="s">
        <v>4</v>
      </c>
      <c r="I13" s="2"/>
    </row>
    <row r="14" spans="1:9" x14ac:dyDescent="0.25">
      <c r="A14" s="2"/>
      <c r="B14" s="108" t="s">
        <v>164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165</v>
      </c>
      <c r="C15" s="109"/>
      <c r="D15" s="109"/>
      <c r="E15" s="56">
        <v>2961332.0135999997</v>
      </c>
      <c r="F15" s="23" t="s">
        <v>4</v>
      </c>
      <c r="G15" s="27">
        <v>2327633</v>
      </c>
      <c r="H15" s="23" t="s">
        <v>4</v>
      </c>
      <c r="I15" s="2"/>
    </row>
    <row r="16" spans="1:9" x14ac:dyDescent="0.25">
      <c r="A16" s="2"/>
      <c r="B16" s="108" t="s">
        <v>166</v>
      </c>
      <c r="C16" s="109"/>
      <c r="D16" s="109"/>
      <c r="E16" s="56">
        <v>393883.53320000001</v>
      </c>
      <c r="F16" s="23" t="s">
        <v>4</v>
      </c>
      <c r="G16" s="27">
        <v>402416</v>
      </c>
      <c r="H16" s="23" t="s">
        <v>4</v>
      </c>
      <c r="I16" s="2"/>
    </row>
    <row r="17" spans="1:9" x14ac:dyDescent="0.25">
      <c r="A17" s="2"/>
      <c r="B17" s="108" t="s">
        <v>167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9" t="s">
        <v>136</v>
      </c>
      <c r="C18" s="100"/>
      <c r="D18" s="100"/>
      <c r="E18" s="100"/>
      <c r="F18" s="101"/>
      <c r="G18" s="21">
        <f>SUM(G10:G17)-SUM(E10:E17)</f>
        <v>-8931653.5707999971</v>
      </c>
      <c r="H18" s="22" t="s">
        <v>4</v>
      </c>
      <c r="I18" s="2"/>
    </row>
    <row r="19" spans="1:9" x14ac:dyDescent="0.25">
      <c r="A19" s="2"/>
      <c r="B19" s="99" t="s">
        <v>137</v>
      </c>
      <c r="C19" s="100"/>
      <c r="D19" s="100"/>
      <c r="E19" s="100"/>
      <c r="F19" s="101"/>
      <c r="G19" s="21">
        <f>G18*(1+'Fane 2.1. Økonomisk ramme 2018'!E19/100)</f>
        <v>-9087957.5082889982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71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15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51</v>
      </c>
      <c r="C9" s="90"/>
      <c r="D9" s="90"/>
      <c r="E9" s="90"/>
      <c r="F9" s="91"/>
      <c r="G9" s="12">
        <f>'Fane 3. Korrigeret grundlag'!G12-'Fane 3. Korrigeret grundlag'!G11+SUM('Fane 2.1. Økonomisk ramme 2018'!E13:E15,'Fane 2.1. Økonomisk ramme 2018'!E17:E18)</f>
        <v>151128759.10703641</v>
      </c>
      <c r="H9" s="23" t="s">
        <v>4</v>
      </c>
      <c r="I9" s="2"/>
    </row>
    <row r="10" spans="1:9" x14ac:dyDescent="0.25">
      <c r="A10" s="2"/>
      <c r="B10" s="51" t="s">
        <v>188</v>
      </c>
      <c r="C10" s="49"/>
      <c r="D10" s="49"/>
      <c r="E10" s="49"/>
      <c r="F10" s="50"/>
      <c r="G10" s="12">
        <v>-3317230.8362687295</v>
      </c>
      <c r="H10" s="23" t="s">
        <v>4</v>
      </c>
      <c r="I10" s="2"/>
    </row>
    <row r="11" spans="1:9" x14ac:dyDescent="0.25">
      <c r="A11" s="2"/>
      <c r="B11" s="89" t="s">
        <v>37</v>
      </c>
      <c r="C11" s="90"/>
      <c r="D11" s="90"/>
      <c r="E11" s="90"/>
      <c r="F11" s="91"/>
      <c r="G11" s="29">
        <v>2</v>
      </c>
      <c r="H11" s="23" t="s">
        <v>38</v>
      </c>
      <c r="I11" s="2"/>
    </row>
    <row r="12" spans="1:9" x14ac:dyDescent="0.25">
      <c r="A12" s="2"/>
      <c r="B12" s="99" t="s">
        <v>15</v>
      </c>
      <c r="C12" s="100"/>
      <c r="D12" s="100"/>
      <c r="E12" s="100"/>
      <c r="F12" s="101"/>
      <c r="G12" s="21">
        <f>($G$9+G10)*(1+'Fane 2.1. Økonomisk ramme 2018'!E19/100)*($G$11/100)</f>
        <v>3007964.6003101231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72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53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110" t="s">
        <v>47</v>
      </c>
      <c r="C9" s="111"/>
      <c r="D9" s="111"/>
      <c r="E9" s="111"/>
      <c r="F9" s="112"/>
      <c r="G9" s="12">
        <f>'Fane 3. Korrigeret grundlag'!G9+(SUM('Fane 2.1. Økonomisk ramme 2018'!E13,'Fane 2.1. Økonomisk ramme 2018'!E14,'Fane 2.1. Økonomisk ramme 2018'!E17))</f>
        <v>45119913.11519067</v>
      </c>
      <c r="H9" s="23" t="s">
        <v>4</v>
      </c>
      <c r="I9" s="2"/>
    </row>
    <row r="10" spans="1:9" x14ac:dyDescent="0.25">
      <c r="A10" s="2"/>
      <c r="B10" s="52" t="s">
        <v>187</v>
      </c>
      <c r="C10" s="53"/>
      <c r="D10" s="53"/>
      <c r="E10" s="53"/>
      <c r="F10" s="54"/>
      <c r="G10" s="12">
        <v>-902802.20000000007</v>
      </c>
      <c r="H10" s="23" t="s">
        <v>4</v>
      </c>
      <c r="I10" s="2"/>
    </row>
    <row r="11" spans="1:9" x14ac:dyDescent="0.25">
      <c r="A11" s="2"/>
      <c r="B11" s="89" t="s">
        <v>16</v>
      </c>
      <c r="C11" s="90"/>
      <c r="D11" s="90"/>
      <c r="E11" s="90"/>
      <c r="F11" s="91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2018'!E19/100)*$G$11/100</f>
        <v>899818.2071241301</v>
      </c>
      <c r="H12" s="38" t="s">
        <v>4</v>
      </c>
      <c r="I12" s="2"/>
    </row>
    <row r="13" spans="1:9" x14ac:dyDescent="0.25">
      <c r="A13" s="2"/>
      <c r="B13" s="89" t="s">
        <v>48</v>
      </c>
      <c r="C13" s="90"/>
      <c r="D13" s="90"/>
      <c r="E13" s="90"/>
      <c r="F13" s="91"/>
      <c r="G13" s="12">
        <f>'Fane 3. Korrigeret grundlag'!G10+SUM('Fane 2.1. Økonomisk ramme 2018'!E15,'Fane 2.1. Økonomisk ramme 2018'!E18)</f>
        <v>106008845.99184576</v>
      </c>
      <c r="H13" s="23" t="s">
        <v>4</v>
      </c>
      <c r="I13" s="2"/>
    </row>
    <row r="14" spans="1:9" x14ac:dyDescent="0.25">
      <c r="A14" s="2"/>
      <c r="B14" s="51" t="s">
        <v>189</v>
      </c>
      <c r="C14" s="49"/>
      <c r="D14" s="49"/>
      <c r="E14" s="49"/>
      <c r="F14" s="50"/>
      <c r="G14" s="12">
        <v>-974384.66637414123</v>
      </c>
      <c r="H14" s="23" t="s">
        <v>4</v>
      </c>
      <c r="I14" s="2"/>
    </row>
    <row r="15" spans="1:9" x14ac:dyDescent="0.25">
      <c r="A15" s="2"/>
      <c r="B15" s="89" t="s">
        <v>16</v>
      </c>
      <c r="C15" s="90"/>
      <c r="D15" s="90"/>
      <c r="E15" s="90"/>
      <c r="F15" s="91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2018'!E19/100)*$G$15/100</f>
        <v>1891644.3898564123</v>
      </c>
      <c r="H16" s="38" t="s">
        <v>4</v>
      </c>
      <c r="I16" s="2"/>
    </row>
    <row r="17" spans="1:9" x14ac:dyDescent="0.25">
      <c r="A17" s="2"/>
      <c r="B17" s="99" t="s">
        <v>52</v>
      </c>
      <c r="C17" s="100"/>
      <c r="D17" s="100"/>
      <c r="E17" s="100"/>
      <c r="F17" s="101"/>
      <c r="G17" s="21">
        <f>G12+G16</f>
        <v>2791462.5969805424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5" t="s">
        <v>73</v>
      </c>
      <c r="C3" s="85"/>
      <c r="D3" s="85"/>
      <c r="E3" s="85"/>
      <c r="F3" s="85"/>
      <c r="G3" s="85"/>
      <c r="H3" s="85"/>
      <c r="I3" s="2"/>
    </row>
    <row r="4" spans="1:9" ht="15" customHeight="1" x14ac:dyDescent="0.25">
      <c r="A4" s="2"/>
      <c r="B4" s="85"/>
      <c r="C4" s="85"/>
      <c r="D4" s="85"/>
      <c r="E4" s="85"/>
      <c r="F4" s="85"/>
      <c r="G4" s="85"/>
      <c r="H4" s="85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9" t="s">
        <v>54</v>
      </c>
      <c r="C8" s="100"/>
      <c r="D8" s="100"/>
      <c r="E8" s="100"/>
      <c r="F8" s="100"/>
      <c r="G8" s="100"/>
      <c r="H8" s="101"/>
      <c r="I8" s="2"/>
    </row>
    <row r="9" spans="1:9" x14ac:dyDescent="0.25">
      <c r="A9" s="2"/>
      <c r="B9" s="89" t="s">
        <v>42</v>
      </c>
      <c r="C9" s="90"/>
      <c r="D9" s="90"/>
      <c r="E9" s="90"/>
      <c r="F9" s="91"/>
      <c r="G9" s="27">
        <v>14631808</v>
      </c>
      <c r="H9" s="23" t="s">
        <v>4</v>
      </c>
      <c r="I9" s="2"/>
    </row>
    <row r="10" spans="1:9" x14ac:dyDescent="0.25">
      <c r="A10" s="2"/>
      <c r="B10" s="89" t="s">
        <v>122</v>
      </c>
      <c r="C10" s="90"/>
      <c r="D10" s="90"/>
      <c r="E10" s="90"/>
      <c r="F10" s="91"/>
      <c r="G10" s="27">
        <v>8524326.3783068769</v>
      </c>
      <c r="H10" s="23" t="s">
        <v>4</v>
      </c>
      <c r="I10" s="2"/>
    </row>
    <row r="11" spans="1:9" x14ac:dyDescent="0.25">
      <c r="A11" s="2"/>
      <c r="B11" s="113" t="s">
        <v>45</v>
      </c>
      <c r="C11" s="114"/>
      <c r="D11" s="114"/>
      <c r="E11" s="114"/>
      <c r="F11" s="115"/>
      <c r="G11" s="57">
        <f>G9-G10</f>
        <v>6107481.6216931231</v>
      </c>
      <c r="H11" s="39" t="s">
        <v>4</v>
      </c>
      <c r="I11" s="2"/>
    </row>
    <row r="12" spans="1:9" x14ac:dyDescent="0.25">
      <c r="A12" s="2"/>
      <c r="B12" s="89" t="s">
        <v>43</v>
      </c>
      <c r="C12" s="90"/>
      <c r="D12" s="90"/>
      <c r="E12" s="90"/>
      <c r="F12" s="91"/>
      <c r="G12" s="27">
        <v>3</v>
      </c>
      <c r="H12" s="23" t="s">
        <v>127</v>
      </c>
      <c r="I12" s="2"/>
    </row>
    <row r="13" spans="1:9" x14ac:dyDescent="0.25">
      <c r="A13" s="2"/>
      <c r="B13" s="99" t="s">
        <v>41</v>
      </c>
      <c r="C13" s="100"/>
      <c r="D13" s="100"/>
      <c r="E13" s="100"/>
      <c r="F13" s="101"/>
      <c r="G13" s="21">
        <f>IF(G12 = 0,0,G11/G12)</f>
        <v>2035827.207231041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5" t="s">
        <v>74</v>
      </c>
      <c r="C3" s="85"/>
      <c r="D3" s="85"/>
      <c r="E3" s="85"/>
      <c r="F3" s="85"/>
      <c r="G3" s="85"/>
      <c r="H3" s="2"/>
    </row>
    <row r="4" spans="1:8" ht="15" customHeight="1" x14ac:dyDescent="0.25">
      <c r="A4" s="2"/>
      <c r="B4" s="85"/>
      <c r="C4" s="85"/>
      <c r="D4" s="85"/>
      <c r="E4" s="85"/>
      <c r="F4" s="85"/>
      <c r="G4" s="85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9" t="s">
        <v>75</v>
      </c>
      <c r="C8" s="100"/>
      <c r="D8" s="100"/>
      <c r="E8" s="100"/>
      <c r="F8" s="100"/>
      <c r="G8" s="101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6" t="s">
        <v>3</v>
      </c>
      <c r="G9" s="116"/>
      <c r="H9" s="2"/>
    </row>
    <row r="10" spans="1:8" x14ac:dyDescent="0.25">
      <c r="A10" s="2"/>
      <c r="B10" s="47" t="s">
        <v>149</v>
      </c>
      <c r="C10" s="41">
        <v>2016</v>
      </c>
      <c r="D10" s="28">
        <v>75</v>
      </c>
      <c r="E10" s="27">
        <v>73045852</v>
      </c>
      <c r="F10" s="12">
        <f>E10/D10</f>
        <v>973944.69333333336</v>
      </c>
      <c r="G10" s="23" t="s">
        <v>4</v>
      </c>
      <c r="H10" s="2"/>
    </row>
    <row r="11" spans="1:8" ht="26.25" x14ac:dyDescent="0.25">
      <c r="A11" s="2"/>
      <c r="B11" s="47" t="s">
        <v>150</v>
      </c>
      <c r="C11" s="41">
        <v>2016</v>
      </c>
      <c r="D11" s="28">
        <v>50</v>
      </c>
      <c r="E11" s="27">
        <v>6390802</v>
      </c>
      <c r="F11" s="12">
        <f t="shared" ref="F11:F21" si="0">E11/D11</f>
        <v>127816.04</v>
      </c>
      <c r="G11" s="23" t="s">
        <v>4</v>
      </c>
      <c r="H11" s="2"/>
    </row>
    <row r="12" spans="1:8" ht="26.25" x14ac:dyDescent="0.25">
      <c r="A12" s="2"/>
      <c r="B12" s="47" t="s">
        <v>151</v>
      </c>
      <c r="C12" s="41">
        <v>2016</v>
      </c>
      <c r="D12" s="28">
        <v>30</v>
      </c>
      <c r="E12" s="27">
        <v>85931</v>
      </c>
      <c r="F12" s="12">
        <f t="shared" si="0"/>
        <v>2864.3666666666668</v>
      </c>
      <c r="G12" s="23" t="s">
        <v>4</v>
      </c>
      <c r="H12" s="2"/>
    </row>
    <row r="13" spans="1:8" x14ac:dyDescent="0.25">
      <c r="A13" s="2"/>
      <c r="B13" s="47" t="s">
        <v>152</v>
      </c>
      <c r="C13" s="41">
        <v>2016</v>
      </c>
      <c r="D13" s="28">
        <v>20</v>
      </c>
      <c r="E13" s="27">
        <v>7763013</v>
      </c>
      <c r="F13" s="12">
        <f t="shared" si="0"/>
        <v>388150.65</v>
      </c>
      <c r="G13" s="23" t="s">
        <v>4</v>
      </c>
      <c r="H13" s="2"/>
    </row>
    <row r="14" spans="1:8" x14ac:dyDescent="0.25">
      <c r="A14" s="2"/>
      <c r="B14" s="47" t="s">
        <v>153</v>
      </c>
      <c r="C14" s="41">
        <v>2016</v>
      </c>
      <c r="D14" s="28">
        <v>10</v>
      </c>
      <c r="E14" s="27">
        <v>2826268</v>
      </c>
      <c r="F14" s="12">
        <f t="shared" si="0"/>
        <v>282626.8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5</v>
      </c>
      <c r="E15" s="27">
        <v>43041</v>
      </c>
      <c r="F15" s="12">
        <f t="shared" si="0"/>
        <v>8608.2000000000007</v>
      </c>
      <c r="G15" s="23" t="s">
        <v>4</v>
      </c>
      <c r="H15" s="2"/>
    </row>
    <row r="16" spans="1:8" x14ac:dyDescent="0.25">
      <c r="A16" s="2"/>
      <c r="B16" s="47" t="s">
        <v>155</v>
      </c>
      <c r="C16" s="41">
        <v>2016</v>
      </c>
      <c r="D16" s="28">
        <v>5</v>
      </c>
      <c r="E16" s="27">
        <v>190040</v>
      </c>
      <c r="F16" s="12">
        <f t="shared" si="0"/>
        <v>38008</v>
      </c>
      <c r="G16" s="23" t="s">
        <v>4</v>
      </c>
      <c r="H16" s="2"/>
    </row>
    <row r="17" spans="1:8" x14ac:dyDescent="0.25">
      <c r="A17" s="2"/>
      <c r="B17" s="47" t="s">
        <v>156</v>
      </c>
      <c r="C17" s="41">
        <v>2016</v>
      </c>
      <c r="D17" s="28">
        <v>5</v>
      </c>
      <c r="E17" s="27">
        <v>85025</v>
      </c>
      <c r="F17" s="12">
        <f t="shared" si="0"/>
        <v>17005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5</v>
      </c>
      <c r="E18" s="27">
        <v>50000</v>
      </c>
      <c r="F18" s="12">
        <f t="shared" si="0"/>
        <v>10000</v>
      </c>
      <c r="G18" s="23" t="s">
        <v>4</v>
      </c>
      <c r="H18" s="2"/>
    </row>
    <row r="19" spans="1:8" x14ac:dyDescent="0.25">
      <c r="A19" s="2"/>
      <c r="B19" s="47" t="s">
        <v>158</v>
      </c>
      <c r="C19" s="41">
        <v>2016</v>
      </c>
      <c r="D19" s="28">
        <v>5</v>
      </c>
      <c r="E19" s="27">
        <v>50000</v>
      </c>
      <c r="F19" s="12">
        <f t="shared" si="0"/>
        <v>10000</v>
      </c>
      <c r="G19" s="23" t="s">
        <v>4</v>
      </c>
      <c r="H19" s="2"/>
    </row>
    <row r="20" spans="1:8" x14ac:dyDescent="0.25">
      <c r="A20" s="2"/>
      <c r="B20" s="47" t="s">
        <v>159</v>
      </c>
      <c r="C20" s="41">
        <v>2016</v>
      </c>
      <c r="D20" s="28">
        <v>5</v>
      </c>
      <c r="E20" s="27">
        <v>609900</v>
      </c>
      <c r="F20" s="12">
        <f t="shared" si="0"/>
        <v>121980</v>
      </c>
      <c r="G20" s="23" t="s">
        <v>4</v>
      </c>
      <c r="H20" s="2"/>
    </row>
    <row r="21" spans="1:8" x14ac:dyDescent="0.25">
      <c r="A21" s="2"/>
      <c r="B21" s="47" t="s">
        <v>159</v>
      </c>
      <c r="C21" s="41">
        <v>2016</v>
      </c>
      <c r="D21" s="28">
        <v>5</v>
      </c>
      <c r="E21" s="27">
        <v>158500</v>
      </c>
      <c r="F21" s="12">
        <f t="shared" si="0"/>
        <v>31700</v>
      </c>
      <c r="G21" s="23" t="s">
        <v>4</v>
      </c>
      <c r="H21" s="2"/>
    </row>
    <row r="22" spans="1:8" x14ac:dyDescent="0.25">
      <c r="A22" s="2"/>
      <c r="B22" s="99" t="s">
        <v>76</v>
      </c>
      <c r="C22" s="100"/>
      <c r="D22" s="100"/>
      <c r="E22" s="101"/>
      <c r="F22" s="21">
        <f>SUM(F10:F21)</f>
        <v>2012703.75</v>
      </c>
      <c r="G22" s="22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2017-10-13T19:03:40Z</dcterms:modified>
</cp:coreProperties>
</file>