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20" i="19"/>
  <c r="G21" i="19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E11" i="2"/>
  <c r="E10" i="15" s="1"/>
  <c r="G12" i="7"/>
  <c r="E9" i="2" l="1"/>
  <c r="E15" i="13"/>
  <c r="F11" i="11"/>
  <c r="F27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<sst xmlns="http://schemas.openxmlformats.org/spreadsheetml/2006/main" count="384" uniqueCount="196">
  <si>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</si>
  <si>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</si>
  <si>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</si>
  <si>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</si>
  <si>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</si>
  <si>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</si>
  <si>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</si>
  <si>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</si>
  <si>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</si>
  <si>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</si>
  <si>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</si>
  <si>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</si>
  <si>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</si>
  <si>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</si>
  <si>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</si>
  <si>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</si>
  <si>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</si>
  <si>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</si>
  <si>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</si>
  <si>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</si>
  <si>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</si>
  <si>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</si>
  <si>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</si>
  <si>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</si>
  <si>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</si>
  <si>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</si>
  <si>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</si>
  <si>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</si>
  <si>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</si>
  <si>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</si>
  <si>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</si>
  <si>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</si>
  <si>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</si>
  <si>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</si>
  <si>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</si>
  <si>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</si>
  <si>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</si>
  <si>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</si>
  <si>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</si>
  <si>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</si>
  <si>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</si>
  <si>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</si>
  <si>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</si>
  <si>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</si>
  <si>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</si>
  <si>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</si>
  <si>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</si>
  <si>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</si>
  <si>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</si>
  <si>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</si>
  <si>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</si>
  <si>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</si>
  <si>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</si>
  <si>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</si>
  <si>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</si>
  <si>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</si>
  <si>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</si>
  <si>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</si>
  <si>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</si>
  <si>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</si>
  <si>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</si>
  <si>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</si>
  <si>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</si>
  <si>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</si>
  <si>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</si>
  <si>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</si>
  <si>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</si>
  <si>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</si>
  <si>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</si>
  <si>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</si>
  <si>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</si>
  <si>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</si>
  <si>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</si>
  <si>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</si>
  <si>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</si>
  <si>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</si>
  <si>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</si>
  <si>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</si>
  <si>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</si>
  <si>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</si>
  <si>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</si>
  <si>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</si>
  <si>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</si>
  <si>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</si>
  <si>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</si>
  <si>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</si>
  <si>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</si>
  <si>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</si>
  <si>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</si>
  <si>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</si>
  <si>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</si>
  <si>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</si>
  <si>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</si>
  <si>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</si>
  <si>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</si>
  <si>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</si>
  <si>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</si>
  <si>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</si>
  <si>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</si>
  <si>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</si>
  <si>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</si>
  <si>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</si>
  <si>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</si>
  <si>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</si>
  <si>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</si>
  <si>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</si>
  <si>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</si>
  <si>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</si>
  <si>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</si>
  <si>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</si>
  <si>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</si>
  <si>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</si>
  <si>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</si>
  <si>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</si>
  <si>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</si>
  <si>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</si>
  <si>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</si>
  <si>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</si>
  <si>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</si>
  <si>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</si>
  <si>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</si>
  <si>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</si>
  <si>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</si>
  <si>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</si>
  <si>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</si>
  <si>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</si>
  <si>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</si>
  <si>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</si>
  <si>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</si>
  <si>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</si>
  <si>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</si>
  <si>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</si>
  <si>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</si>
  <si>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</si>
  <si>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</si>
  <si>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</si>
  <si>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</si>
  <si>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</si>
  <si>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</si>
  <si>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</si>
  <si>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</si>
  <si>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</si>
  <si>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</si>
  <si>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</si>
  <si>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</si>
  <si>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</si>
  <si>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Mek/EL</t>
  </si>
  <si>
    <t>Brønde</t>
  </si>
  <si>
    <t>Installationer "mekaniske riste og SRO" Miljøklasse A. (7-20 m2) - Mek/EL</t>
  </si>
  <si>
    <t>Installationer "mekaniske riste og SRO" Miljøklasse A. (7-20 m2) - SRO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</si>
  <si>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</si>
  <si>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</si>
  <si>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</si>
  <si>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</si>
  <si>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Slutafvanding, slam - højteknologisk (centrifuger), Konstruktioner</t>
  </si>
  <si>
    <t>Stik</t>
  </si>
  <si>
    <t>Strømpeforing ≤ Ø 200 mm</t>
  </si>
  <si>
    <t>Tryksatte minipumpestationer (husstandssystemer)</t>
  </si>
  <si>
    <t>Ø 1000 mm &lt; Ledningsnet ≤ Ø 1200 mm</t>
  </si>
  <si>
    <t>Ø 200 mm &lt; Ledningsnet ≤ Ø 500 mm</t>
  </si>
  <si>
    <t>Ø 500 mm &lt; Ledningsnet ≤ Ø 800 mm</t>
  </si>
  <si>
    <t>Øvrige Produktionsanlæg og maskiner</t>
  </si>
  <si>
    <t>Aircondition</t>
  </si>
  <si>
    <t>Pumpestationer m. overbygning (&lt; 20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</si>
  <si>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</si>
  <si>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</si>
  <si>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</si>
  <si>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</si>
  <si>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</si>
  <si>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</si>
  <si>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</si>
  <si>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</si>
  <si>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</si>
  <si>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Undersøgelsesudgifter i forbindelse med fusion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</si>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</sst>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185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78</v>
      </c>
      <c r="C9" s="86"/>
      <c r="D9" s="86"/>
      <c r="E9" s="86"/>
      <c r="F9" s="87"/>
      <c r="G9" s="27">
        <v>6260363</v>
      </c>
      <c r="H9" s="23" t="s">
        <v>4</v>
      </c>
      <c r="I9" s="2"/>
    </row>
    <row r="10" spans="1:9" x14ac:dyDescent="0.25">
      <c r="A10" s="2"/>
      <c r="B10" s="100" t="s">
        <v>79</v>
      </c>
      <c r="C10" s="86"/>
      <c r="D10" s="86"/>
      <c r="E10" s="86"/>
      <c r="F10" s="87"/>
      <c r="G10" s="27">
        <v>3131490</v>
      </c>
      <c r="H10" s="23" t="s">
        <v>4</v>
      </c>
      <c r="I10" s="2"/>
    </row>
    <row r="11" spans="1:9" x14ac:dyDescent="0.25">
      <c r="A11" s="2"/>
      <c r="B11" s="94" t="s">
        <v>186</v>
      </c>
      <c r="C11" s="95"/>
      <c r="D11" s="95"/>
      <c r="E11" s="95"/>
      <c r="F11" s="96"/>
      <c r="G11" s="21">
        <f>G9-G10</f>
        <v>3128873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187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80</v>
      </c>
      <c r="C15" s="86"/>
      <c r="D15" s="86"/>
      <c r="E15" s="86"/>
      <c r="F15" s="87"/>
      <c r="G15" s="27">
        <v>688405</v>
      </c>
      <c r="H15" s="23" t="s">
        <v>4</v>
      </c>
      <c r="I15" s="2"/>
    </row>
    <row r="16" spans="1:9" x14ac:dyDescent="0.25">
      <c r="A16" s="2"/>
      <c r="B16" s="100" t="s">
        <v>81</v>
      </c>
      <c r="C16" s="86"/>
      <c r="D16" s="86"/>
      <c r="E16" s="86"/>
      <c r="F16" s="87"/>
      <c r="G16" s="27">
        <v>2100000</v>
      </c>
      <c r="H16" s="23" t="s">
        <v>4</v>
      </c>
      <c r="I16" s="2"/>
    </row>
    <row r="17" spans="1:9" x14ac:dyDescent="0.25">
      <c r="A17" s="2"/>
      <c r="B17" s="94" t="s">
        <v>187</v>
      </c>
      <c r="C17" s="95"/>
      <c r="D17" s="95"/>
      <c r="E17" s="95"/>
      <c r="F17" s="96"/>
      <c r="G17" s="21">
        <f>G15-G16</f>
        <v>-1411595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188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82</v>
      </c>
      <c r="C21" s="86"/>
      <c r="D21" s="86"/>
      <c r="E21" s="86"/>
      <c r="F21" s="87"/>
      <c r="G21" s="27">
        <v>333076</v>
      </c>
      <c r="H21" s="23" t="s">
        <v>4</v>
      </c>
      <c r="I21" s="2"/>
    </row>
    <row r="22" spans="1:9" x14ac:dyDescent="0.25">
      <c r="A22" s="2"/>
      <c r="B22" s="100" t="s">
        <v>83</v>
      </c>
      <c r="C22" s="86"/>
      <c r="D22" s="86"/>
      <c r="E22" s="86"/>
      <c r="F22" s="87"/>
      <c r="G22" s="27">
        <v>250000</v>
      </c>
      <c r="H22" s="23" t="s">
        <v>4</v>
      </c>
      <c r="I22" s="2"/>
    </row>
    <row r="23" spans="1:9" x14ac:dyDescent="0.25">
      <c r="A23" s="2"/>
      <c r="B23" s="94" t="s">
        <v>188</v>
      </c>
      <c r="C23" s="95"/>
      <c r="D23" s="95"/>
      <c r="E23" s="95"/>
      <c r="F23" s="96"/>
      <c r="G23" s="21">
        <f>G21-G22</f>
        <v>83076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189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100" t="s">
        <v>85</v>
      </c>
      <c r="C28" s="86"/>
      <c r="D28" s="86"/>
      <c r="E28" s="86"/>
      <c r="F28" s="87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189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87</v>
      </c>
      <c r="C33" s="86"/>
      <c r="D33" s="86"/>
      <c r="E33" s="86"/>
      <c r="F33" s="87"/>
      <c r="G33" s="12">
        <f>'Fane 8. Gen. inv. i 2016'!F28</f>
        <v>534471.26980000001</v>
      </c>
      <c r="H33" s="23" t="s">
        <v>4</v>
      </c>
      <c r="I33" s="2"/>
    </row>
    <row r="34" spans="1:9" x14ac:dyDescent="0.25">
      <c r="A34" s="2"/>
      <c r="B34" s="100" t="s">
        <v>88</v>
      </c>
      <c r="C34" s="86"/>
      <c r="D34" s="86"/>
      <c r="E34" s="86"/>
      <c r="F34" s="87"/>
      <c r="G34" s="27">
        <v>844000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-309528.73019999999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1" t="s">
        <v>91</v>
      </c>
      <c r="C9" s="102"/>
      <c r="D9" s="102"/>
      <c r="E9" s="102"/>
      <c r="F9" s="103"/>
      <c r="G9" s="26">
        <v>92229848.755534679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100" t="s">
        <v>19</v>
      </c>
      <c r="C11" s="86"/>
      <c r="D11" s="87"/>
      <c r="E11" s="27">
        <v>43364734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93</v>
      </c>
      <c r="C12" s="86"/>
      <c r="D12" s="87"/>
      <c r="E12" s="27">
        <v>5227756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94</v>
      </c>
      <c r="C13" s="86"/>
      <c r="D13" s="87"/>
      <c r="E13" s="27">
        <v>1339673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95</v>
      </c>
      <c r="C14" s="86"/>
      <c r="D14" s="87"/>
      <c r="E14" s="27">
        <v>1894000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51826163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6"/>
      <c r="D16" s="87"/>
      <c r="E16" s="27">
        <v>2436705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2436705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-935272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-16886278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6"/>
      <c r="D22" s="87"/>
      <c r="E22" s="27">
        <v>-16839454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-34661004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19601864</v>
      </c>
      <c r="F28" s="38" t="s">
        <v>4</v>
      </c>
      <c r="G28" s="1">
        <f>IF(E28&lt;0,0,-E28)</f>
        <v>-19601864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101" t="s">
        <v>96</v>
      </c>
      <c r="C30" s="102"/>
      <c r="D30" s="103"/>
      <c r="E30" s="26">
        <v>6277133.7555346787</v>
      </c>
      <c r="F30" s="38" t="s">
        <v>4</v>
      </c>
      <c r="G30" s="18">
        <f>-$E$30</f>
        <v>-6277133.7555346787</v>
      </c>
      <c r="H30" s="38" t="s">
        <v>4</v>
      </c>
      <c r="I30" s="2"/>
    </row>
    <row r="31" spans="1:9" x14ac:dyDescent="0.25">
      <c r="A31" s="2"/>
      <c r="B31" s="119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63415460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2935391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66350851</v>
      </c>
      <c r="F35" s="38" t="s">
        <v>4</v>
      </c>
      <c r="G35" s="18">
        <f>-E35</f>
        <v>-66350851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126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182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120" t="s">
        <v>183</v>
      </c>
      <c r="C10" s="121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178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195</v>
      </c>
      <c r="C16" s="89"/>
      <c r="D16" s="89"/>
      <c r="E16" s="90"/>
      <c r="F16" s="118" t="s">
        <v>179</v>
      </c>
      <c r="G16" s="118"/>
      <c r="H16" s="2"/>
    </row>
    <row r="17" spans="1:8" x14ac:dyDescent="0.25">
      <c r="A17" s="2"/>
      <c r="B17" s="100" t="s">
        <v>191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180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181</v>
      </c>
      <c r="C19" s="95"/>
      <c r="D19" s="95"/>
      <c r="E19" s="96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35" t="s">
        <v>190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109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86239833.422060609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3366369.7781394199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omk.'!G21</f>
        <v>2997398.5139945005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193</v>
      </c>
      <c r="C12" s="49"/>
      <c r="D12" s="50"/>
      <c r="E12" s="12">
        <f>'Fane 5. Individuelt eff.krav'!G10</f>
        <v>-1080248.3179683262</v>
      </c>
      <c r="F12" s="9" t="s">
        <v>4</v>
      </c>
      <c r="G12" s="13"/>
      <c r="H12" s="14"/>
      <c r="I12" s="2"/>
    </row>
    <row r="13" spans="1:9" x14ac:dyDescent="0.25">
      <c r="A13" s="2"/>
      <c r="B13" s="85" t="s">
        <v>174</v>
      </c>
      <c r="C13" s="97"/>
      <c r="D13" s="98"/>
      <c r="E13" s="12">
        <f>'Fane 3. Korrigeret grundlag'!G22</f>
        <v>943758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129</v>
      </c>
      <c r="C14" s="92"/>
      <c r="D14" s="93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130</v>
      </c>
      <c r="C15" s="92"/>
      <c r="D15" s="93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178</v>
      </c>
      <c r="C16" s="92"/>
      <c r="D16" s="93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131</v>
      </c>
      <c r="C17" s="92"/>
      <c r="D17" s="93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1" t="s">
        <v>132</v>
      </c>
      <c r="C18" s="92"/>
      <c r="D18" s="93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5" t="s">
        <v>123</v>
      </c>
      <c r="C20" s="86"/>
      <c r="D20" s="87"/>
      <c r="E20" s="12">
        <f>SUM(E9,E11:E18)*(E19/100)</f>
        <v>1559262.9783165189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6"/>
      <c r="D21" s="87"/>
      <c r="E21" s="12">
        <f>'Fane 5. Individuelt eff.krav'!G12</f>
        <v>576204.44942334946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6"/>
      <c r="D22" s="87"/>
      <c r="E22" s="12">
        <f>'Fane 6. Generelt eff.krav'!G17</f>
        <v>1556285.1542849033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184</v>
      </c>
      <c r="C23" s="102"/>
      <c r="D23" s="103"/>
      <c r="E23" s="18">
        <f>SUM(E9,E11:E18,E20)-SUM(E21:E22)</f>
        <v>88527514.992695048</v>
      </c>
      <c r="F23" s="19" t="s">
        <v>4</v>
      </c>
      <c r="G23" s="18">
        <f>E23</f>
        <v>88527514.992695048</v>
      </c>
      <c r="H23" s="19" t="s">
        <v>4</v>
      </c>
      <c r="I23" s="2"/>
    </row>
    <row r="24" spans="1:9" x14ac:dyDescent="0.25">
      <c r="A24" s="2"/>
      <c r="B24" s="94" t="s">
        <v>17</v>
      </c>
      <c r="C24" s="95"/>
      <c r="D24" s="95"/>
      <c r="E24" s="95"/>
      <c r="F24" s="95"/>
      <c r="G24" s="95"/>
      <c r="H24" s="96"/>
      <c r="I24" s="2"/>
    </row>
    <row r="25" spans="1:9" x14ac:dyDescent="0.25">
      <c r="A25" s="2"/>
      <c r="B25" s="88" t="s">
        <v>55</v>
      </c>
      <c r="C25" s="89"/>
      <c r="D25" s="9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4" t="s">
        <v>98</v>
      </c>
      <c r="C26" s="95"/>
      <c r="D26" s="95"/>
      <c r="E26" s="95"/>
      <c r="F26" s="95"/>
      <c r="G26" s="95"/>
      <c r="H26" s="96"/>
      <c r="I26" s="2"/>
    </row>
    <row r="27" spans="1:9" x14ac:dyDescent="0.25">
      <c r="A27" s="2"/>
      <c r="B27" s="91" t="s">
        <v>105</v>
      </c>
      <c r="C27" s="92"/>
      <c r="D27" s="93"/>
      <c r="E27" s="12">
        <f>'Fane 9. Korrektion af PL2016'!G11</f>
        <v>3128873</v>
      </c>
      <c r="F27" s="9" t="s">
        <v>4</v>
      </c>
      <c r="G27" s="20"/>
      <c r="H27" s="11"/>
      <c r="I27" s="2"/>
    </row>
    <row r="28" spans="1:9" x14ac:dyDescent="0.25">
      <c r="A28" s="2"/>
      <c r="B28" s="91" t="s">
        <v>99</v>
      </c>
      <c r="C28" s="92"/>
      <c r="D28" s="93"/>
      <c r="E28" s="12">
        <f>'Fane 9. Korrektion af PL2016'!G17</f>
        <v>-1411595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1" t="s">
        <v>100</v>
      </c>
      <c r="C29" s="92"/>
      <c r="D29" s="93"/>
      <c r="E29" s="12">
        <f>'Fane 9. Korrektion af PL2016'!G23</f>
        <v>83076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1" t="s">
        <v>101</v>
      </c>
      <c r="C30" s="92"/>
      <c r="D30" s="93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1" t="s">
        <v>102</v>
      </c>
      <c r="C31" s="92"/>
      <c r="D31" s="93"/>
      <c r="E31" s="12">
        <f>'Fane 9. Korrektion af PL2016'!G35</f>
        <v>-309528.73019999999</v>
      </c>
      <c r="F31" s="9" t="s">
        <v>4</v>
      </c>
      <c r="G31" s="15"/>
      <c r="H31" s="14"/>
      <c r="I31" s="2"/>
    </row>
    <row r="32" spans="1:9" x14ac:dyDescent="0.25">
      <c r="A32" s="2"/>
      <c r="B32" s="88" t="s">
        <v>103</v>
      </c>
      <c r="C32" s="89"/>
      <c r="D32" s="90"/>
      <c r="E32" s="18">
        <f>SUM(E27:E31)</f>
        <v>1490825.2697999999</v>
      </c>
      <c r="F32" s="19" t="s">
        <v>4</v>
      </c>
      <c r="G32" s="18">
        <f>E32</f>
        <v>1490825.2697999999</v>
      </c>
      <c r="H32" s="19" t="s">
        <v>4</v>
      </c>
      <c r="I32" s="2"/>
    </row>
    <row r="33" spans="1:9" x14ac:dyDescent="0.25">
      <c r="A33" s="2"/>
      <c r="B33" s="94" t="s">
        <v>18</v>
      </c>
      <c r="C33" s="95"/>
      <c r="D33" s="95"/>
      <c r="E33" s="95"/>
      <c r="F33" s="95"/>
      <c r="G33" s="95"/>
      <c r="H33" s="96"/>
      <c r="I33" s="2"/>
    </row>
    <row r="34" spans="1:9" x14ac:dyDescent="0.25">
      <c r="A34" s="2"/>
      <c r="B34" s="88" t="s">
        <v>104</v>
      </c>
      <c r="C34" s="89"/>
      <c r="D34" s="90"/>
      <c r="E34" s="18">
        <f>'Fane 10. Kontrol af PL2016'!G36</f>
        <v>0</v>
      </c>
      <c r="F34" s="19" t="s">
        <v>4</v>
      </c>
      <c r="G34" s="18">
        <f>E34</f>
        <v>0</v>
      </c>
      <c r="H34" s="19" t="s">
        <v>4</v>
      </c>
      <c r="I34" s="2"/>
    </row>
    <row r="35" spans="1:9" x14ac:dyDescent="0.25">
      <c r="A35" s="2"/>
      <c r="B35" s="94" t="s">
        <v>62</v>
      </c>
      <c r="C35" s="95"/>
      <c r="D35" s="95"/>
      <c r="E35" s="95"/>
      <c r="F35" s="96"/>
      <c r="G35" s="21">
        <f>G23+G25+G32+G34</f>
        <v>90018340.262495041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108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2018'!G23-'Fane 2.1. Økonomisk ramme 2018'!E13*(1+0.0175)*(1-0.02-'Fane 5. Individuelt eff.krav'!G11/100)</f>
        <v>87593019.309375465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97"/>
      <c r="D10" s="98"/>
      <c r="E10" s="12">
        <f>(SUM('Fane 2.1. Økonomisk ramme 2018'!E10:E11,'Fane 2.1. Økonomisk ramme 2018'!E16))*(1+'Fane 2.1. Økonomisk ramme 2018'!E19/100)</f>
        <v>6475134.2372462638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174</v>
      </c>
      <c r="C11" s="59"/>
      <c r="D11" s="60"/>
      <c r="E11" s="12">
        <v>960274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6"/>
      <c r="D12" s="87"/>
      <c r="E12" s="12">
        <f>($E$9+E11)*'Fane 2.1. Økonomisk ramme 2018'!E19/100</f>
        <v>1549682.6329140705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6"/>
      <c r="D13" s="87"/>
      <c r="E13" s="12">
        <f>($E$9+E11-$E$10)*(1+'Fane 2.1. Økonomisk ramme 2018'!E19/100)*'Fane 5. Individuelt eff.krav'!$G$11/100</f>
        <v>571616.27452237497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1573685.9803168254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184</v>
      </c>
      <c r="C15" s="102"/>
      <c r="D15" s="103"/>
      <c r="E15" s="18">
        <f>$E$9+$E$12-$E$13-$E$14+E11</f>
        <v>87957673.68745032</v>
      </c>
      <c r="F15" s="19" t="s">
        <v>4</v>
      </c>
      <c r="G15" s="18">
        <f>E15</f>
        <v>87957673.68745032</v>
      </c>
      <c r="H15" s="19" t="s">
        <v>4</v>
      </c>
      <c r="I15" s="2"/>
    </row>
    <row r="16" spans="1:9" x14ac:dyDescent="0.25">
      <c r="A16" s="2"/>
      <c r="B16" s="94" t="s">
        <v>17</v>
      </c>
      <c r="C16" s="95"/>
      <c r="D16" s="95"/>
      <c r="E16" s="95"/>
      <c r="F16" s="95"/>
      <c r="G16" s="95"/>
      <c r="H16" s="96"/>
      <c r="I16" s="2"/>
    </row>
    <row r="17" spans="1:9" ht="15" customHeight="1" x14ac:dyDescent="0.25">
      <c r="A17" s="2"/>
      <c r="B17" s="88" t="s">
        <v>55</v>
      </c>
      <c r="C17" s="89"/>
      <c r="D17" s="9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94" t="s">
        <v>107</v>
      </c>
      <c r="C18" s="95"/>
      <c r="D18" s="95"/>
      <c r="E18" s="95"/>
      <c r="F18" s="96"/>
      <c r="G18" s="21">
        <f>G15+G17</f>
        <v>87957673.68745032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110</v>
      </c>
      <c r="C9" s="86"/>
      <c r="D9" s="86"/>
      <c r="E9" s="86"/>
      <c r="F9" s="87"/>
      <c r="G9" s="27">
        <v>27926761.654717386</v>
      </c>
      <c r="H9" s="23" t="s">
        <v>4</v>
      </c>
      <c r="I9" s="2"/>
    </row>
    <row r="10" spans="1:9" x14ac:dyDescent="0.25">
      <c r="A10" s="2"/>
      <c r="B10" s="100" t="s">
        <v>111</v>
      </c>
      <c r="C10" s="86"/>
      <c r="D10" s="86"/>
      <c r="E10" s="86"/>
      <c r="F10" s="87"/>
      <c r="G10" s="27">
        <v>54946701.989203811</v>
      </c>
      <c r="H10" s="23" t="s">
        <v>4</v>
      </c>
      <c r="I10" s="2"/>
    </row>
    <row r="11" spans="1:9" x14ac:dyDescent="0.25">
      <c r="A11" s="2"/>
      <c r="B11" s="100" t="s">
        <v>138</v>
      </c>
      <c r="C11" s="86"/>
      <c r="D11" s="86"/>
      <c r="E11" s="86"/>
      <c r="F11" s="87"/>
      <c r="G11" s="27">
        <v>3366369.7781394199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86239833.422060609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4" t="s">
        <v>174</v>
      </c>
      <c r="C19" s="95"/>
      <c r="D19" s="95"/>
      <c r="E19" s="95"/>
      <c r="F19" s="95"/>
      <c r="G19" s="95"/>
      <c r="H19" s="96"/>
      <c r="I19" s="2"/>
    </row>
    <row r="20" spans="1:9" x14ac:dyDescent="0.25">
      <c r="A20" s="2"/>
      <c r="B20" s="100" t="s">
        <v>175</v>
      </c>
      <c r="C20" s="86"/>
      <c r="D20" s="86"/>
      <c r="E20" s="86"/>
      <c r="F20" s="87"/>
      <c r="G20" s="27">
        <v>943758</v>
      </c>
      <c r="H20" s="23" t="s">
        <v>4</v>
      </c>
      <c r="I20" s="2"/>
    </row>
    <row r="21" spans="1:9" x14ac:dyDescent="0.25">
      <c r="A21" s="2"/>
      <c r="B21" s="100" t="s">
        <v>176</v>
      </c>
      <c r="C21" s="86"/>
      <c r="D21" s="86"/>
      <c r="E21" s="86"/>
      <c r="F21" s="87"/>
      <c r="G21" s="27">
        <v>0</v>
      </c>
      <c r="H21" s="23" t="s">
        <v>4</v>
      </c>
      <c r="I21" s="2"/>
    </row>
    <row r="22" spans="1:9" x14ac:dyDescent="0.25">
      <c r="A22" s="2"/>
      <c r="B22" s="104" t="s">
        <v>177</v>
      </c>
      <c r="C22" s="105"/>
      <c r="D22" s="105"/>
      <c r="E22" s="105"/>
      <c r="F22" s="106"/>
      <c r="G22" s="21">
        <f>SUM(G20:G21)</f>
        <v>943758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30758.671200000001</v>
      </c>
      <c r="F11" s="23" t="s">
        <v>4</v>
      </c>
      <c r="G11" s="27">
        <v>28749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938420.4</v>
      </c>
      <c r="F12" s="23" t="s">
        <v>4</v>
      </c>
      <c r="G12" s="27">
        <v>4305001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32399.4126</v>
      </c>
      <c r="F13" s="23" t="s">
        <v>4</v>
      </c>
      <c r="G13" s="27">
        <v>56128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1712018.5137999998</v>
      </c>
      <c r="F15" s="23" t="s">
        <v>4</v>
      </c>
      <c r="G15" s="27">
        <v>1338834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610556.03700000001</v>
      </c>
      <c r="F16" s="23" t="s">
        <v>4</v>
      </c>
      <c r="G16" s="27">
        <v>393151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0" t="s">
        <v>172</v>
      </c>
      <c r="C18" s="111"/>
      <c r="D18" s="111"/>
      <c r="E18" s="56">
        <v>0</v>
      </c>
      <c r="F18" s="23" t="s">
        <v>4</v>
      </c>
      <c r="G18" s="27">
        <v>93260</v>
      </c>
      <c r="H18" s="23" t="s">
        <v>4</v>
      </c>
      <c r="I18" s="2"/>
    </row>
    <row r="19" spans="1:9" x14ac:dyDescent="0.25">
      <c r="A19" s="2"/>
      <c r="B19" s="110" t="s">
        <v>173</v>
      </c>
      <c r="C19" s="111"/>
      <c r="D19" s="111"/>
      <c r="E19" s="56">
        <v>0</v>
      </c>
      <c r="F19" s="23" t="s">
        <v>4</v>
      </c>
      <c r="G19" s="27">
        <v>54876.24</v>
      </c>
      <c r="H19" s="23" t="s">
        <v>4</v>
      </c>
      <c r="I19" s="2"/>
    </row>
    <row r="20" spans="1:9" x14ac:dyDescent="0.25">
      <c r="A20" s="2"/>
      <c r="B20" s="94" t="s">
        <v>134</v>
      </c>
      <c r="C20" s="95"/>
      <c r="D20" s="95"/>
      <c r="E20" s="95"/>
      <c r="F20" s="96"/>
      <c r="G20" s="21">
        <f>SUM(G10:G19)-SUM(E10:E19)</f>
        <v>2945846.2054000003</v>
      </c>
      <c r="H20" s="22" t="s">
        <v>4</v>
      </c>
      <c r="I20" s="2"/>
    </row>
    <row r="21" spans="1:9" x14ac:dyDescent="0.25">
      <c r="A21" s="2"/>
      <c r="B21" s="94" t="s">
        <v>135</v>
      </c>
      <c r="C21" s="95"/>
      <c r="D21" s="95"/>
      <c r="E21" s="95"/>
      <c r="F21" s="96"/>
      <c r="G21" s="21">
        <f>G20*(1+'Fane 2.1. Økonomisk ramme 2018'!E19/100)</f>
        <v>2997398.5139945005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2018'!E13:E15,'Fane 2.1. Økonomisk ramme 2018'!E17:E18)</f>
        <v>83817221.643921196</v>
      </c>
      <c r="H9" s="23" t="s">
        <v>4</v>
      </c>
      <c r="I9" s="2"/>
    </row>
    <row r="10" spans="1:9" x14ac:dyDescent="0.25">
      <c r="A10" s="2"/>
      <c r="B10" s="48" t="s">
        <v>193</v>
      </c>
      <c r="C10" s="49"/>
      <c r="D10" s="49"/>
      <c r="E10" s="49"/>
      <c r="F10" s="50"/>
      <c r="G10" s="12">
        <v>-1080248.3179683262</v>
      </c>
      <c r="H10" s="23" t="s">
        <v>4</v>
      </c>
      <c r="I10" s="2"/>
    </row>
    <row r="11" spans="1:9" x14ac:dyDescent="0.25">
      <c r="A11" s="2"/>
      <c r="B11" s="100" t="s">
        <v>37</v>
      </c>
      <c r="C11" s="86"/>
      <c r="D11" s="86"/>
      <c r="E11" s="86"/>
      <c r="F11" s="87"/>
      <c r="G11" s="29">
        <v>0.68445131169661988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2018'!E19/100)*($G$11/100)</f>
        <v>576204.44942334946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2" t="s">
        <v>47</v>
      </c>
      <c r="C9" s="113"/>
      <c r="D9" s="113"/>
      <c r="E9" s="113"/>
      <c r="F9" s="114"/>
      <c r="G9" s="12">
        <f>'Fane 3. Korrigeret grundlag'!G9+(SUM('Fane 2.1. Økonomisk ramme 2018'!E13,'Fane 2.1. Økonomisk ramme 2018'!E14,'Fane 2.1. Økonomisk ramme 2018'!E17))</f>
        <v>28870519.654717386</v>
      </c>
      <c r="H9" s="23" t="s">
        <v>4</v>
      </c>
      <c r="I9" s="2"/>
    </row>
    <row r="10" spans="1:9" x14ac:dyDescent="0.25">
      <c r="A10" s="2"/>
      <c r="B10" s="52" t="s">
        <v>192</v>
      </c>
      <c r="C10" s="53"/>
      <c r="D10" s="53"/>
      <c r="E10" s="53"/>
      <c r="F10" s="54"/>
      <c r="G10" s="12">
        <v>-577410.40236250637</v>
      </c>
      <c r="H10" s="23" t="s">
        <v>4</v>
      </c>
      <c r="I10" s="2"/>
    </row>
    <row r="11" spans="1:9" x14ac:dyDescent="0.25">
      <c r="A11" s="2"/>
      <c r="B11" s="100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575764.77328542178</v>
      </c>
      <c r="H12" s="38" t="s">
        <v>4</v>
      </c>
      <c r="I12" s="2"/>
    </row>
    <row r="13" spans="1:9" x14ac:dyDescent="0.25">
      <c r="A13" s="2"/>
      <c r="B13" s="100" t="s">
        <v>48</v>
      </c>
      <c r="C13" s="86"/>
      <c r="D13" s="86"/>
      <c r="E13" s="86"/>
      <c r="F13" s="87"/>
      <c r="G13" s="12">
        <f>'Fane 3. Korrigeret grundlag'!G10+SUM('Fane 2.1. Økonomisk ramme 2018'!E15,'Fane 2.1. Økonomisk ramme 2018'!E18)</f>
        <v>54946701.989203811</v>
      </c>
      <c r="H13" s="23" t="s">
        <v>4</v>
      </c>
      <c r="I13" s="2"/>
    </row>
    <row r="14" spans="1:9" x14ac:dyDescent="0.25">
      <c r="A14" s="2"/>
      <c r="B14" s="48" t="s">
        <v>194</v>
      </c>
      <c r="C14" s="49"/>
      <c r="D14" s="49"/>
      <c r="E14" s="49"/>
      <c r="F14" s="50"/>
      <c r="G14" s="12">
        <v>-502837.9156058199</v>
      </c>
      <c r="H14" s="23" t="s">
        <v>4</v>
      </c>
      <c r="I14" s="2"/>
    </row>
    <row r="15" spans="1:9" x14ac:dyDescent="0.25">
      <c r="A15" s="2"/>
      <c r="B15" s="100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980520.38099948154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1556285.1542849033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00" t="s">
        <v>42</v>
      </c>
      <c r="C9" s="86"/>
      <c r="D9" s="86"/>
      <c r="E9" s="86"/>
      <c r="F9" s="87"/>
      <c r="G9" s="27">
        <v>-79708462</v>
      </c>
      <c r="H9" s="23" t="s">
        <v>4</v>
      </c>
      <c r="I9" s="2"/>
    </row>
    <row r="10" spans="1:9" x14ac:dyDescent="0.25">
      <c r="A10" s="2"/>
      <c r="B10" s="100" t="s">
        <v>120</v>
      </c>
      <c r="C10" s="86"/>
      <c r="D10" s="86"/>
      <c r="E10" s="86"/>
      <c r="F10" s="87"/>
      <c r="G10" s="27">
        <v>-79708462.243386239</v>
      </c>
      <c r="H10" s="23" t="s">
        <v>4</v>
      </c>
      <c r="I10" s="2"/>
    </row>
    <row r="11" spans="1:9" x14ac:dyDescent="0.25">
      <c r="A11" s="2"/>
      <c r="B11" s="115" t="s">
        <v>45</v>
      </c>
      <c r="C11" s="116"/>
      <c r="D11" s="116"/>
      <c r="E11" s="116"/>
      <c r="F11" s="117"/>
      <c r="G11" s="57">
        <f>G9-G10</f>
        <v>0.24338623881340027</v>
      </c>
      <c r="H11" s="39" t="s">
        <v>4</v>
      </c>
      <c r="I11" s="2"/>
    </row>
    <row r="12" spans="1:9" x14ac:dyDescent="0.25">
      <c r="A12" s="2"/>
      <c r="B12" s="100" t="s">
        <v>43</v>
      </c>
      <c r="C12" s="86"/>
      <c r="D12" s="86"/>
      <c r="E12" s="86"/>
      <c r="F12" s="87"/>
      <c r="G12" s="27">
        <v>0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8" t="s">
        <v>3</v>
      </c>
      <c r="G9" s="118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66879.72</v>
      </c>
      <c r="F10" s="12">
        <f>E10/D10</f>
        <v>3343.9859999999999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4156990.5</v>
      </c>
      <c r="F11" s="12">
        <f t="shared" ref="F11:F27" si="0">E11/D11</f>
        <v>55426.54</v>
      </c>
      <c r="G11" s="23" t="s">
        <v>4</v>
      </c>
      <c r="H11" s="2"/>
    </row>
    <row r="12" spans="1:8" ht="26.25" x14ac:dyDescent="0.25">
      <c r="A12" s="2"/>
      <c r="B12" s="47" t="s">
        <v>148</v>
      </c>
      <c r="C12" s="41">
        <v>2016</v>
      </c>
      <c r="D12" s="28">
        <v>20</v>
      </c>
      <c r="E12" s="27">
        <v>194434.78</v>
      </c>
      <c r="F12" s="12">
        <f t="shared" si="0"/>
        <v>9721.7389999999996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10</v>
      </c>
      <c r="E13" s="27">
        <v>129623.19</v>
      </c>
      <c r="F13" s="12">
        <f t="shared" si="0"/>
        <v>12962.319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5638912.3600000003</v>
      </c>
      <c r="F14" s="12">
        <f t="shared" si="0"/>
        <v>75185.498133333342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443981.3</v>
      </c>
      <c r="F15" s="12">
        <f t="shared" si="0"/>
        <v>8879.6260000000002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1618434.28</v>
      </c>
      <c r="F16" s="12">
        <f t="shared" si="0"/>
        <v>80921.714000000007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14068.69</v>
      </c>
      <c r="F17" s="12">
        <f t="shared" si="0"/>
        <v>1406.8690000000001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60</v>
      </c>
      <c r="E18" s="27">
        <v>89549</v>
      </c>
      <c r="F18" s="12">
        <f t="shared" si="0"/>
        <v>1492.4833333333333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6066364.0800000001</v>
      </c>
      <c r="F19" s="12">
        <f t="shared" si="0"/>
        <v>80884.854399999997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50</v>
      </c>
      <c r="E20" s="27">
        <v>230807.42</v>
      </c>
      <c r="F20" s="12">
        <f t="shared" si="0"/>
        <v>4616.1484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30</v>
      </c>
      <c r="E21" s="27">
        <v>152545.9</v>
      </c>
      <c r="F21" s="12">
        <f t="shared" si="0"/>
        <v>5084.8633333333328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276568.63</v>
      </c>
      <c r="F22" s="12">
        <f t="shared" si="0"/>
        <v>3687.5817333333334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6313979.0999999996</v>
      </c>
      <c r="F23" s="12">
        <f t="shared" si="0"/>
        <v>84186.387999999992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75</v>
      </c>
      <c r="E24" s="27">
        <v>2260831.46</v>
      </c>
      <c r="F24" s="12">
        <f t="shared" si="0"/>
        <v>30144.419466666666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10</v>
      </c>
      <c r="E25" s="27">
        <v>551571.74</v>
      </c>
      <c r="F25" s="12">
        <f t="shared" si="0"/>
        <v>55157.173999999999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7</v>
      </c>
      <c r="E26" s="27">
        <v>22400</v>
      </c>
      <c r="F26" s="12">
        <f t="shared" si="0"/>
        <v>3200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10</v>
      </c>
      <c r="E27" s="27">
        <v>181690.66</v>
      </c>
      <c r="F27" s="12">
        <f t="shared" si="0"/>
        <v>18169.065999999999</v>
      </c>
      <c r="G27" s="23" t="s">
        <v>4</v>
      </c>
      <c r="H27" s="2"/>
    </row>
    <row r="28" spans="1:8" x14ac:dyDescent="0.25">
      <c r="A28" s="2"/>
      <c r="B28" s="94" t="s">
        <v>76</v>
      </c>
      <c r="C28" s="95"/>
      <c r="D28" s="95"/>
      <c r="E28" s="96"/>
      <c r="F28" s="21">
        <f>SUM(F10:F27)</f>
        <v>534471.26980000001</v>
      </c>
      <c r="G28" s="22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2017-10-13T19:06:36Z</dcterms:modified>
</cp:coreProperties>
</file>