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K20" i="22" l="1"/>
  <c r="K19" i="22"/>
  <c r="G11" i="10" l="1"/>
  <c r="G13" i="10" s="1"/>
  <c r="K12" i="22"/>
  <c r="K11" i="22"/>
  <c r="K10" i="22"/>
  <c r="F18" i="20"/>
  <c r="F19" i="20" s="1"/>
  <c r="F14" i="11" l="1"/>
  <c r="F13" i="11"/>
  <c r="F12" i="11"/>
  <c r="F11" i="21" l="1"/>
  <c r="F12" i="21" s="1"/>
  <c r="D11" i="21"/>
  <c r="D12" i="21" l="1"/>
  <c r="K18" i="22" s="1"/>
  <c r="F11" i="20"/>
  <c r="F12" i="20" s="1"/>
  <c r="D11" i="20"/>
  <c r="D12" i="20" s="1"/>
  <c r="E17" i="22" s="1"/>
  <c r="G17" i="22" l="1"/>
  <c r="E20" i="22"/>
  <c r="I17" i="22" l="1"/>
  <c r="G20" i="22"/>
  <c r="G18" i="19"/>
  <c r="G19" i="19" s="1"/>
  <c r="E14" i="22" s="1"/>
  <c r="G12" i="7"/>
  <c r="G14" i="22" l="1"/>
  <c r="E19" i="22"/>
  <c r="E21" i="22" s="1"/>
  <c r="I20" i="22"/>
  <c r="K17" i="22"/>
  <c r="E15" i="13"/>
  <c r="F11" i="11"/>
  <c r="F15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6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<sst xmlns="http://schemas.openxmlformats.org/spreadsheetml/2006/main" count="325" uniqueCount="145">
  <si>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</si>
  <si>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</si>
  <si>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</si>
  <si>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</si>
  <si>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</si>
  <si>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</si>
  <si>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</si>
  <si>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</si>
  <si>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</si>
  <si>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</si>
  <si>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</si>
  <si>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</si>
  <si>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</si>
  <si>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</si>
  <si>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</si>
  <si>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</si>
  <si>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</si>
  <si>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</si>
  <si>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</si>
  <si>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</si>
  <si>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</si>
  <si>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</si>
  <si>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</si>
  <si>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</si>
  <si>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</si>
  <si>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</si>
  <si>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</si>
  <si>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</si>
  <si>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</si>
  <si>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</si>
  <si>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</si>
  <si>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</si>
  <si>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</si>
  <si>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</si>
  <si>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</si>
  <si>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</si>
  <si>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</si>
  <si>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</si>
  <si>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</si>
  <si>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</si>
  <si>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</si>
  <si>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</si>
  <si>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</si>
  <si>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</si>
  <si>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</si>
  <si>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</si>
  <si>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</si>
  <si>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</si>
  <si>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</si>
  <si>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</si>
  <si>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</si>
  <si>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</si>
  <si>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</si>
  <si>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</si>
  <si>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</si>
  <si>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</si>
  <si>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</si>
  <si>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</si>
  <si>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</si>
  <si>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</si>
  <si>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</si>
  <si>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</si>
  <si>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</si>
  <si>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</si>
  <si>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</si>
  <si>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</si>
  <si>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</si>
  <si>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</si>
  <si>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</si>
  <si>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</si>
  <si>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</si>
  <si>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</si>
  <si>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</si>
  <si>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</si>
  <si>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</si>
  <si>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</si>
  <si>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</si>
  <si>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</si>
  <si>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</si>
  <si>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</si>
  <si>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</si>
  <si>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</si>
  <si>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</si>
  <si>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</si>
  <si>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</si>
  <si>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</si>
  <si>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</si>
  <si>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</si>
  <si>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</si>
  <si>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</si>
  <si>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</si>
  <si>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</si>
  <si>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</si>
  <si>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</si>
  <si>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</si>
  <si>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</si>
  <si>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</si>
  <si>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</si>
  <si>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</si>
  <si>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</si>
  <si>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</si>
  <si>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</si>
  <si>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</si>
  <si>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</si>
  <si>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</si>
  <si>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</si>
  <si>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</si>
  <si>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</si>
  <si>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</si>
  <si>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</si>
  <si>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</si>
  <si>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</si>
  <si>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</si>
  <si>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</si>
  <si>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</si>
  <si>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Skyllevand-/slamhåndteringsanlæg - lukkede betonbeholdere</t>
  </si>
  <si>
    <t>Filteranlæg, trykfiltre, dobbelt filtrering</t>
  </si>
  <si>
    <t>Afregningsmålere, elektroniske ≤ Ø 110mm (Qn 10)</t>
  </si>
  <si>
    <t>Etageareal vandbehandlingsbygning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</si>
  <si>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</si>
  <si>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</si>
  <si>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</si>
  <si>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</si>
  <si>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</si>
  <si>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</si>
  <si>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</si>
  <si>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</si>
  <si>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</si>
  <si>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</si>
  <si>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</si>
  <si>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</si>
  <si>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</si>
  <si>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</si>
  <si>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</si>
  <si>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</si>
  <si>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</si>
  <si>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</si>
  <si>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</si>
  <si>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</si>
  <si>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</si>
  <si>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</si>
  <si>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</si>
  <si>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</si>
  <si>
    <t>Opgjort over- eller underdækning per. 31. december 2015</t>
  </si>
  <si>
    <t>Heraf beløb indregnet i prisloft 2016 samt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</si>
</sst>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114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111</v>
      </c>
      <c r="D13" s="76" t="s">
        <v>112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47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40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50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70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90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49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45</v>
      </c>
      <c r="D21" s="61" t="s">
        <v>48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101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78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79</v>
      </c>
      <c r="C9" s="33"/>
      <c r="D9" s="100" t="s">
        <v>39</v>
      </c>
      <c r="E9" s="100"/>
      <c r="F9" s="100" t="s">
        <v>81</v>
      </c>
      <c r="G9" s="100"/>
      <c r="H9" s="2"/>
    </row>
    <row r="10" spans="1:8" x14ac:dyDescent="0.25">
      <c r="A10" s="2"/>
      <c r="B10" s="23" t="s">
        <v>138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82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92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113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102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103</v>
      </c>
      <c r="C9" s="86"/>
      <c r="D9" s="87"/>
      <c r="E9" s="48">
        <v>3632514.3784257374</v>
      </c>
      <c r="F9" s="13" t="s">
        <v>4</v>
      </c>
      <c r="G9" s="48">
        <v>3640784.8733250224</v>
      </c>
      <c r="H9" s="13" t="s">
        <v>4</v>
      </c>
      <c r="I9" s="48">
        <v>3649328.2802110733</v>
      </c>
      <c r="J9" s="13" t="s">
        <v>4</v>
      </c>
      <c r="K9" s="57" t="s">
        <v>104</v>
      </c>
      <c r="L9" s="40" t="s">
        <v>4</v>
      </c>
      <c r="M9" s="2"/>
    </row>
    <row r="10" spans="1:13" x14ac:dyDescent="0.25">
      <c r="A10" s="2"/>
      <c r="B10" s="82" t="s">
        <v>71</v>
      </c>
      <c r="C10" s="80"/>
      <c r="D10" s="81"/>
      <c r="E10" s="41" t="s">
        <v>104</v>
      </c>
      <c r="F10" s="8" t="s">
        <v>4</v>
      </c>
      <c r="G10" s="41" t="s">
        <v>104</v>
      </c>
      <c r="H10" s="8" t="s">
        <v>4</v>
      </c>
      <c r="I10" s="41" t="s">
        <v>104</v>
      </c>
      <c r="J10" s="8" t="s">
        <v>4</v>
      </c>
      <c r="K10" s="42">
        <f>'Fane 3. Korrigeret grundlag'!G9*(1+E25/100)^3</f>
        <v>1264224.1629837274</v>
      </c>
      <c r="L10" s="8" t="s">
        <v>4</v>
      </c>
      <c r="M10" s="2"/>
    </row>
    <row r="11" spans="1:13" x14ac:dyDescent="0.25">
      <c r="A11" s="2"/>
      <c r="B11" s="46" t="s">
        <v>72</v>
      </c>
      <c r="C11" s="44"/>
      <c r="D11" s="45"/>
      <c r="E11" s="41" t="s">
        <v>104</v>
      </c>
      <c r="F11" s="8" t="s">
        <v>4</v>
      </c>
      <c r="G11" s="41" t="s">
        <v>104</v>
      </c>
      <c r="H11" s="8" t="s">
        <v>4</v>
      </c>
      <c r="I11" s="41" t="s">
        <v>104</v>
      </c>
      <c r="J11" s="8" t="s">
        <v>4</v>
      </c>
      <c r="K11" s="42">
        <f>'Fane 3. Korrigeret grundlag'!G10*(1+E25/100)^3</f>
        <v>1070091.9681894232</v>
      </c>
      <c r="L11" s="8" t="s">
        <v>4</v>
      </c>
      <c r="M11" s="2"/>
    </row>
    <row r="12" spans="1:13" x14ac:dyDescent="0.25">
      <c r="A12" s="2"/>
      <c r="B12" s="46" t="s">
        <v>88</v>
      </c>
      <c r="C12" s="44"/>
      <c r="D12" s="45"/>
      <c r="E12" s="41" t="s">
        <v>104</v>
      </c>
      <c r="F12" s="8" t="s">
        <v>4</v>
      </c>
      <c r="G12" s="41" t="s">
        <v>104</v>
      </c>
      <c r="H12" s="8" t="s">
        <v>4</v>
      </c>
      <c r="I12" s="41" t="s">
        <v>104</v>
      </c>
      <c r="J12" s="8" t="s">
        <v>4</v>
      </c>
      <c r="K12" s="42">
        <f>'Fane 3. Korrigeret grundlag'!G11*(1+E25/100)^3</f>
        <v>1476099.5565975632</v>
      </c>
      <c r="L12" s="8" t="s">
        <v>4</v>
      </c>
      <c r="M12" s="2"/>
    </row>
    <row r="13" spans="1:13" x14ac:dyDescent="0.25">
      <c r="A13" s="2"/>
      <c r="B13" s="46" t="s">
        <v>142</v>
      </c>
      <c r="C13" s="44"/>
      <c r="D13" s="45"/>
      <c r="E13" s="41" t="s">
        <v>104</v>
      </c>
      <c r="F13" s="8" t="s">
        <v>4</v>
      </c>
      <c r="G13" s="41" t="s">
        <v>104</v>
      </c>
      <c r="H13" s="8" t="s">
        <v>4</v>
      </c>
      <c r="I13" s="41" t="s">
        <v>104</v>
      </c>
      <c r="J13" s="8" t="s">
        <v>4</v>
      </c>
      <c r="K13" s="42">
        <v>-149037.13699866028</v>
      </c>
      <c r="L13" s="8" t="s">
        <v>4</v>
      </c>
      <c r="M13" s="2"/>
    </row>
    <row r="14" spans="1:13" x14ac:dyDescent="0.25">
      <c r="A14" s="2"/>
      <c r="B14" s="82" t="s">
        <v>105</v>
      </c>
      <c r="C14" s="80"/>
      <c r="D14" s="81"/>
      <c r="E14" s="42">
        <f>'Fane 4. Ikke-påvirkelige omk.'!G19</f>
        <v>111851.73084249992</v>
      </c>
      <c r="F14" s="8" t="s">
        <v>4</v>
      </c>
      <c r="G14" s="9">
        <f>E14*(1+$E$25/100)</f>
        <v>113809.13613224367</v>
      </c>
      <c r="H14" s="8" t="s">
        <v>4</v>
      </c>
      <c r="I14" s="9">
        <f>G14*(1+$E$25/100)</f>
        <v>115800.79601455794</v>
      </c>
      <c r="J14" s="8" t="s">
        <v>4</v>
      </c>
      <c r="K14" s="51">
        <f>I14*(1+$E$25/100)</f>
        <v>117827.30994481272</v>
      </c>
      <c r="L14" s="8" t="s">
        <v>4</v>
      </c>
      <c r="M14" s="2"/>
    </row>
    <row r="15" spans="1:13" x14ac:dyDescent="0.25">
      <c r="A15" s="2"/>
      <c r="B15" s="82" t="s">
        <v>70</v>
      </c>
      <c r="C15" s="80"/>
      <c r="D15" s="81"/>
      <c r="E15" s="41" t="s">
        <v>104</v>
      </c>
      <c r="F15" s="8" t="s">
        <v>4</v>
      </c>
      <c r="G15" s="41" t="s">
        <v>104</v>
      </c>
      <c r="H15" s="8" t="s">
        <v>4</v>
      </c>
      <c r="I15" s="41" t="s">
        <v>104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21453.786666666663</v>
      </c>
      <c r="L15" s="8" t="s">
        <v>4</v>
      </c>
      <c r="M15" s="2"/>
    </row>
    <row r="16" spans="1:13" x14ac:dyDescent="0.25">
      <c r="A16" s="2"/>
      <c r="B16" s="79" t="s">
        <v>106</v>
      </c>
      <c r="C16" s="80"/>
      <c r="D16" s="81"/>
      <c r="E16" s="41" t="s">
        <v>104</v>
      </c>
      <c r="F16" s="8" t="s">
        <v>4</v>
      </c>
      <c r="G16" s="41" t="s">
        <v>104</v>
      </c>
      <c r="H16" s="8" t="s">
        <v>4</v>
      </c>
      <c r="I16" s="41" t="s">
        <v>104</v>
      </c>
      <c r="J16" s="8" t="s">
        <v>4</v>
      </c>
      <c r="K16" s="51">
        <f>'Fane 8. Kontrol af PL2016'!G36</f>
        <v>-537338.44921071362</v>
      </c>
      <c r="L16" s="8" t="s">
        <v>4</v>
      </c>
      <c r="M16" s="2"/>
    </row>
    <row r="17" spans="1:13" x14ac:dyDescent="0.25">
      <c r="A17" s="2"/>
      <c r="B17" s="79" t="s">
        <v>107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78</v>
      </c>
      <c r="C18" s="80"/>
      <c r="D18" s="81"/>
      <c r="E18" s="41" t="s">
        <v>104</v>
      </c>
      <c r="F18" s="8" t="s">
        <v>4</v>
      </c>
      <c r="G18" s="41" t="s">
        <v>104</v>
      </c>
      <c r="H18" s="8" t="s">
        <v>4</v>
      </c>
      <c r="I18" s="41" t="s">
        <v>104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46</v>
      </c>
      <c r="C19" s="80"/>
      <c r="D19" s="81"/>
      <c r="E19" s="42">
        <f>(E17+E14)*($E$25/100)</f>
        <v>1957.4052897437489</v>
      </c>
      <c r="F19" s="8" t="s">
        <v>4</v>
      </c>
      <c r="G19" s="42">
        <f>(G17+G14)*($E$25/100)</f>
        <v>1991.6598823142645</v>
      </c>
      <c r="H19" s="8" t="s">
        <v>4</v>
      </c>
      <c r="I19" s="42">
        <f>(I17+I14)*($E$25/100)</f>
        <v>2026.5139302547641</v>
      </c>
      <c r="J19" s="8" t="s">
        <v>4</v>
      </c>
      <c r="K19" s="42">
        <f>SUM(K10:K14,K17:K18)*($E$25/100)</f>
        <v>66136.102562545173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-37799.863401733244</v>
      </c>
      <c r="L20" s="8" t="s">
        <v>4</v>
      </c>
      <c r="M20" s="2"/>
    </row>
    <row r="21" spans="1:13" x14ac:dyDescent="0.25">
      <c r="A21" s="2"/>
      <c r="B21" s="37" t="s">
        <v>108</v>
      </c>
      <c r="C21" s="38"/>
      <c r="D21" s="38"/>
      <c r="E21" s="49">
        <f>SUM(E9:E20)</f>
        <v>3746323.5145579809</v>
      </c>
      <c r="F21" s="38" t="s">
        <v>4</v>
      </c>
      <c r="G21" s="49">
        <f>SUM(G9:G20)</f>
        <v>3756585.66933958</v>
      </c>
      <c r="H21" s="38" t="s">
        <v>4</v>
      </c>
      <c r="I21" s="49">
        <f>SUM(I9:I20)</f>
        <v>3767155.590155886</v>
      </c>
      <c r="J21" s="38" t="s">
        <v>4</v>
      </c>
      <c r="K21" s="52">
        <f>SUM(K9:K20)</f>
        <v>3291657.4373336313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109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110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94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71</v>
      </c>
      <c r="C9" s="80"/>
      <c r="D9" s="80"/>
      <c r="E9" s="80"/>
      <c r="F9" s="81"/>
      <c r="G9" s="21">
        <v>1200109.3877885477</v>
      </c>
      <c r="H9" s="17" t="s">
        <v>4</v>
      </c>
      <c r="I9" s="2"/>
    </row>
    <row r="10" spans="1:9" x14ac:dyDescent="0.25">
      <c r="A10" s="2"/>
      <c r="B10" s="79" t="s">
        <v>72</v>
      </c>
      <c r="C10" s="80"/>
      <c r="D10" s="80"/>
      <c r="E10" s="80"/>
      <c r="F10" s="81"/>
      <c r="G10" s="21">
        <v>1015822.5530117326</v>
      </c>
      <c r="H10" s="17" t="s">
        <v>4</v>
      </c>
      <c r="I10" s="2"/>
    </row>
    <row r="11" spans="1:9" x14ac:dyDescent="0.25">
      <c r="A11" s="2"/>
      <c r="B11" s="79" t="s">
        <v>88</v>
      </c>
      <c r="C11" s="80"/>
      <c r="D11" s="80"/>
      <c r="E11" s="80"/>
      <c r="F11" s="81"/>
      <c r="G11" s="21">
        <v>1401239.5800143001</v>
      </c>
      <c r="H11" s="17" t="s">
        <v>4</v>
      </c>
      <c r="I11" s="2"/>
    </row>
    <row r="12" spans="1:9" ht="17.25" customHeight="1" x14ac:dyDescent="0.25">
      <c r="A12" s="2"/>
      <c r="B12" s="88" t="s">
        <v>91</v>
      </c>
      <c r="C12" s="89"/>
      <c r="D12" s="89"/>
      <c r="E12" s="89"/>
      <c r="F12" s="90"/>
      <c r="G12" s="15">
        <f>SUM(G9:G11)</f>
        <v>3617171.5208145804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41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86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87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73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74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76</v>
      </c>
      <c r="C9" s="86"/>
      <c r="D9" s="87"/>
      <c r="E9" s="13" t="s">
        <v>75</v>
      </c>
      <c r="F9" s="13"/>
      <c r="G9" s="13" t="s">
        <v>89</v>
      </c>
      <c r="H9" s="13"/>
      <c r="I9" s="2"/>
    </row>
    <row r="10" spans="1:9" x14ac:dyDescent="0.25">
      <c r="A10" s="2"/>
      <c r="B10" s="95" t="s">
        <v>119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120</v>
      </c>
      <c r="C11" s="96"/>
      <c r="D11" s="96"/>
      <c r="E11" s="55">
        <v>6649.6350000000002</v>
      </c>
      <c r="F11" s="17" t="s">
        <v>4</v>
      </c>
      <c r="G11" s="21">
        <v>6964</v>
      </c>
      <c r="H11" s="17" t="s">
        <v>4</v>
      </c>
      <c r="I11" s="2"/>
    </row>
    <row r="12" spans="1:9" x14ac:dyDescent="0.25">
      <c r="A12" s="2"/>
      <c r="B12" s="95" t="s">
        <v>121</v>
      </c>
      <c r="C12" s="96"/>
      <c r="D12" s="96"/>
      <c r="E12" s="55">
        <v>0</v>
      </c>
      <c r="F12" s="17" t="s">
        <v>4</v>
      </c>
      <c r="G12" s="21">
        <v>43412</v>
      </c>
      <c r="H12" s="17" t="s">
        <v>4</v>
      </c>
      <c r="I12" s="2"/>
    </row>
    <row r="13" spans="1:9" x14ac:dyDescent="0.25">
      <c r="A13" s="2"/>
      <c r="B13" s="95" t="s">
        <v>122</v>
      </c>
      <c r="C13" s="96"/>
      <c r="D13" s="96"/>
      <c r="E13" s="55">
        <v>0</v>
      </c>
      <c r="F13" s="17" t="s">
        <v>4</v>
      </c>
      <c r="G13" s="21">
        <v>3181</v>
      </c>
      <c r="H13" s="17" t="s">
        <v>4</v>
      </c>
      <c r="I13" s="2"/>
    </row>
    <row r="14" spans="1:9" x14ac:dyDescent="0.25">
      <c r="A14" s="2"/>
      <c r="B14" s="95" t="s">
        <v>123</v>
      </c>
      <c r="C14" s="96"/>
      <c r="D14" s="96"/>
      <c r="E14" s="55">
        <v>1377017.3740000001</v>
      </c>
      <c r="F14" s="17" t="s">
        <v>4</v>
      </c>
      <c r="G14" s="21">
        <v>1440038</v>
      </c>
      <c r="H14" s="17" t="s">
        <v>4</v>
      </c>
      <c r="I14" s="2"/>
    </row>
    <row r="15" spans="1:9" x14ac:dyDescent="0.25">
      <c r="A15" s="2"/>
      <c r="B15" s="95" t="s">
        <v>124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125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126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84</v>
      </c>
      <c r="C18" s="92"/>
      <c r="D18" s="92"/>
      <c r="E18" s="92"/>
      <c r="F18" s="93"/>
      <c r="G18" s="15">
        <f>SUM(G10:G17)-SUM(E10:E17)</f>
        <v>109927.99099999992</v>
      </c>
      <c r="H18" s="16" t="s">
        <v>4</v>
      </c>
      <c r="I18" s="2"/>
    </row>
    <row r="19" spans="1:9" x14ac:dyDescent="0.25">
      <c r="A19" s="2"/>
      <c r="B19" s="91" t="s">
        <v>85</v>
      </c>
      <c r="C19" s="92"/>
      <c r="D19" s="92"/>
      <c r="E19" s="92"/>
      <c r="F19" s="93"/>
      <c r="G19" s="15">
        <f>G18*(1+'Fane 2. Overblik ØR18-21'!E25/100)</f>
        <v>111851.73084249992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96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42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143</v>
      </c>
      <c r="C9" s="80"/>
      <c r="D9" s="80"/>
      <c r="E9" s="80"/>
      <c r="F9" s="81"/>
      <c r="G9" s="21">
        <v>-52156</v>
      </c>
      <c r="H9" s="17" t="s">
        <v>4</v>
      </c>
      <c r="I9" s="2"/>
    </row>
    <row r="10" spans="1:9" x14ac:dyDescent="0.25">
      <c r="A10" s="2"/>
      <c r="B10" s="79" t="s">
        <v>144</v>
      </c>
      <c r="C10" s="80"/>
      <c r="D10" s="80"/>
      <c r="E10" s="80"/>
      <c r="F10" s="81"/>
      <c r="G10" s="21">
        <v>-214641</v>
      </c>
      <c r="H10" s="17" t="s">
        <v>4</v>
      </c>
      <c r="I10" s="2"/>
    </row>
    <row r="11" spans="1:9" x14ac:dyDescent="0.25">
      <c r="A11" s="2"/>
      <c r="B11" s="97" t="s">
        <v>38</v>
      </c>
      <c r="C11" s="98"/>
      <c r="D11" s="98"/>
      <c r="E11" s="98"/>
      <c r="F11" s="99"/>
      <c r="G11" s="56">
        <f>G9-G10</f>
        <v>162485</v>
      </c>
      <c r="H11" s="26" t="s">
        <v>4</v>
      </c>
      <c r="I11" s="2"/>
    </row>
    <row r="12" spans="1:9" x14ac:dyDescent="0.25">
      <c r="A12" s="2"/>
      <c r="B12" s="79" t="s">
        <v>36</v>
      </c>
      <c r="C12" s="80"/>
      <c r="D12" s="80"/>
      <c r="E12" s="80"/>
      <c r="F12" s="81"/>
      <c r="G12" s="21">
        <v>3</v>
      </c>
      <c r="H12" s="17" t="s">
        <v>80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54161.666666666664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0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97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50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37</v>
      </c>
      <c r="F9" s="100" t="s">
        <v>3</v>
      </c>
      <c r="G9" s="100"/>
      <c r="H9" s="2"/>
    </row>
    <row r="10" spans="1:8" ht="26.25" x14ac:dyDescent="0.25">
      <c r="A10" s="2"/>
      <c r="B10" s="43" t="s">
        <v>115</v>
      </c>
      <c r="C10" s="28">
        <v>2016</v>
      </c>
      <c r="D10" s="22">
        <v>50</v>
      </c>
      <c r="E10" s="21">
        <v>91423</v>
      </c>
      <c r="F10" s="9">
        <f>E10/D10</f>
        <v>1828.46</v>
      </c>
      <c r="G10" s="17" t="s">
        <v>4</v>
      </c>
      <c r="H10" s="2"/>
    </row>
    <row r="11" spans="1:8" x14ac:dyDescent="0.25">
      <c r="A11" s="2"/>
      <c r="B11" s="43" t="s">
        <v>116</v>
      </c>
      <c r="C11" s="28">
        <v>2016</v>
      </c>
      <c r="D11" s="22">
        <v>25</v>
      </c>
      <c r="E11" s="21">
        <v>1192</v>
      </c>
      <c r="F11" s="9">
        <f t="shared" ref="F11:F15" si="0">E11/D11</f>
        <v>47.68</v>
      </c>
      <c r="G11" s="17" t="s">
        <v>4</v>
      </c>
      <c r="H11" s="2"/>
    </row>
    <row r="12" spans="1:8" ht="26.25" x14ac:dyDescent="0.25">
      <c r="A12" s="2"/>
      <c r="B12" s="43" t="s">
        <v>117</v>
      </c>
      <c r="C12" s="28">
        <v>2016</v>
      </c>
      <c r="D12" s="22">
        <v>10</v>
      </c>
      <c r="E12" s="21">
        <v>3939</v>
      </c>
      <c r="F12" s="9">
        <f t="shared" si="0"/>
        <v>393.9</v>
      </c>
      <c r="G12" s="17" t="s">
        <v>4</v>
      </c>
      <c r="H12" s="2"/>
    </row>
    <row r="13" spans="1:8" x14ac:dyDescent="0.25">
      <c r="A13" s="2"/>
      <c r="B13" s="43" t="s">
        <v>118</v>
      </c>
      <c r="C13" s="28">
        <v>2016</v>
      </c>
      <c r="D13" s="22">
        <v>75</v>
      </c>
      <c r="E13" s="21">
        <v>8107</v>
      </c>
      <c r="F13" s="9">
        <f t="shared" si="0"/>
        <v>108.09333333333333</v>
      </c>
      <c r="G13" s="17" t="s">
        <v>4</v>
      </c>
      <c r="H13" s="2"/>
    </row>
    <row r="14" spans="1:8" ht="26.25" x14ac:dyDescent="0.25">
      <c r="A14" s="2"/>
      <c r="B14" s="43" t="s">
        <v>115</v>
      </c>
      <c r="C14" s="28">
        <v>2016</v>
      </c>
      <c r="D14" s="22">
        <v>50</v>
      </c>
      <c r="E14" s="21">
        <v>197736</v>
      </c>
      <c r="F14" s="9">
        <f t="shared" si="0"/>
        <v>3954.72</v>
      </c>
      <c r="G14" s="17" t="s">
        <v>4</v>
      </c>
      <c r="H14" s="2"/>
    </row>
    <row r="15" spans="1:8" x14ac:dyDescent="0.25">
      <c r="A15" s="2"/>
      <c r="B15" s="43" t="s">
        <v>116</v>
      </c>
      <c r="C15" s="28">
        <v>2016</v>
      </c>
      <c r="D15" s="22">
        <v>25</v>
      </c>
      <c r="E15" s="21">
        <v>735565</v>
      </c>
      <c r="F15" s="9">
        <f t="shared" si="0"/>
        <v>29422.6</v>
      </c>
      <c r="G15" s="17" t="s">
        <v>4</v>
      </c>
      <c r="H15" s="2"/>
    </row>
    <row r="16" spans="1:8" x14ac:dyDescent="0.25">
      <c r="A16" s="2"/>
      <c r="B16" s="91" t="s">
        <v>51</v>
      </c>
      <c r="C16" s="92"/>
      <c r="D16" s="92"/>
      <c r="E16" s="93"/>
      <c r="F16" s="15">
        <f>SUM(F10:F15)</f>
        <v>35755.453333333331</v>
      </c>
      <c r="G16" s="16" t="s">
        <v>4</v>
      </c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</sheetData>
  <sheetProtection password="DFE9" sheet="1" objects="1" scenarios="1"/>
  <mergeCells count="4">
    <mergeCell ref="B16:E1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98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133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52</v>
      </c>
      <c r="C9" s="80"/>
      <c r="D9" s="80"/>
      <c r="E9" s="80"/>
      <c r="F9" s="81"/>
      <c r="G9" s="21">
        <v>1510315</v>
      </c>
      <c r="H9" s="17" t="s">
        <v>4</v>
      </c>
      <c r="I9" s="2"/>
    </row>
    <row r="10" spans="1:9" x14ac:dyDescent="0.25">
      <c r="A10" s="2"/>
      <c r="B10" s="79" t="s">
        <v>53</v>
      </c>
      <c r="C10" s="80"/>
      <c r="D10" s="80"/>
      <c r="E10" s="80"/>
      <c r="F10" s="81"/>
      <c r="G10" s="21">
        <v>1497950</v>
      </c>
      <c r="H10" s="17" t="s">
        <v>4</v>
      </c>
      <c r="I10" s="2"/>
    </row>
    <row r="11" spans="1:9" x14ac:dyDescent="0.25">
      <c r="A11" s="2"/>
      <c r="B11" s="91" t="s">
        <v>134</v>
      </c>
      <c r="C11" s="92"/>
      <c r="D11" s="92"/>
      <c r="E11" s="92"/>
      <c r="F11" s="93"/>
      <c r="G11" s="15">
        <f>G9-G10</f>
        <v>12365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135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54</v>
      </c>
      <c r="C15" s="80"/>
      <c r="D15" s="80"/>
      <c r="E15" s="80"/>
      <c r="F15" s="81"/>
      <c r="G15" s="21">
        <v>0</v>
      </c>
      <c r="H15" s="17" t="s">
        <v>4</v>
      </c>
      <c r="I15" s="2"/>
    </row>
    <row r="16" spans="1:9" x14ac:dyDescent="0.25">
      <c r="A16" s="2"/>
      <c r="B16" s="79" t="s">
        <v>55</v>
      </c>
      <c r="C16" s="80"/>
      <c r="D16" s="80"/>
      <c r="E16" s="80"/>
      <c r="F16" s="81"/>
      <c r="G16" s="21">
        <v>0</v>
      </c>
      <c r="H16" s="17" t="s">
        <v>4</v>
      </c>
      <c r="I16" s="2"/>
    </row>
    <row r="17" spans="1:9" x14ac:dyDescent="0.25">
      <c r="A17" s="2"/>
      <c r="B17" s="91" t="s">
        <v>135</v>
      </c>
      <c r="C17" s="92"/>
      <c r="D17" s="92"/>
      <c r="E17" s="92"/>
      <c r="F17" s="93"/>
      <c r="G17" s="15">
        <f>G15-G16</f>
        <v>0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136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56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57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136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137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58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59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137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60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61</v>
      </c>
      <c r="C33" s="80"/>
      <c r="D33" s="80"/>
      <c r="E33" s="80"/>
      <c r="F33" s="81"/>
      <c r="G33" s="9">
        <f>'Fane 6. Gen. inv. i 2016'!F16</f>
        <v>35755.453333333331</v>
      </c>
      <c r="H33" s="17" t="s">
        <v>4</v>
      </c>
      <c r="I33" s="2"/>
    </row>
    <row r="34" spans="1:9" x14ac:dyDescent="0.25">
      <c r="A34" s="2"/>
      <c r="B34" s="79" t="s">
        <v>62</v>
      </c>
      <c r="C34" s="80"/>
      <c r="D34" s="80"/>
      <c r="E34" s="80"/>
      <c r="F34" s="81"/>
      <c r="G34" s="21">
        <v>26666.666666666668</v>
      </c>
      <c r="H34" s="17" t="s">
        <v>4</v>
      </c>
      <c r="I34" s="2"/>
    </row>
    <row r="35" spans="1:9" x14ac:dyDescent="0.25">
      <c r="A35" s="2"/>
      <c r="B35" s="91" t="s">
        <v>60</v>
      </c>
      <c r="C35" s="92"/>
      <c r="D35" s="92"/>
      <c r="E35" s="92"/>
      <c r="F35" s="93"/>
      <c r="G35" s="15">
        <f>G33-G34</f>
        <v>9088.7866666666632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99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64</v>
      </c>
      <c r="C9" s="105"/>
      <c r="D9" s="105"/>
      <c r="E9" s="105"/>
      <c r="F9" s="106"/>
      <c r="G9" s="20">
        <v>3323049.2907892866</v>
      </c>
      <c r="H9" s="25" t="s">
        <v>4</v>
      </c>
      <c r="I9" s="2"/>
    </row>
    <row r="10" spans="1:9" x14ac:dyDescent="0.25">
      <c r="A10" s="2"/>
      <c r="B10" s="91" t="s">
        <v>65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578699.61345595308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66</v>
      </c>
      <c r="C12" s="80"/>
      <c r="D12" s="81"/>
      <c r="E12" s="21">
        <v>283561.08833333332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67</v>
      </c>
      <c r="C13" s="80"/>
      <c r="D13" s="81"/>
      <c r="E13" s="21">
        <v>0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68</v>
      </c>
      <c r="C14" s="80"/>
      <c r="D14" s="81"/>
      <c r="E14" s="21">
        <v>58500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920760.70178928645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117200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117200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-1037962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-1037962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-1.2982107135467231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69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69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43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44</v>
      </c>
      <c r="C32" s="102"/>
      <c r="D32" s="103"/>
      <c r="E32" s="21">
        <v>3810195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50192.74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3860387.74</v>
      </c>
      <c r="F35" s="25" t="s">
        <v>4</v>
      </c>
      <c r="G35" s="12">
        <f>-E35</f>
        <v>-3860387.74</v>
      </c>
      <c r="H35" s="25" t="s">
        <v>4</v>
      </c>
      <c r="I35" s="2"/>
    </row>
    <row r="36" spans="1:9" x14ac:dyDescent="0.25">
      <c r="A36" s="2"/>
      <c r="B36" s="91" t="s">
        <v>132</v>
      </c>
      <c r="C36" s="92"/>
      <c r="D36" s="92"/>
      <c r="E36" s="92"/>
      <c r="F36" s="93"/>
      <c r="G36" s="15">
        <f>$G$9+$G$28+$G$30+$G$35</f>
        <v>-537338.44921071362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100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130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77</v>
      </c>
      <c r="C9" s="87"/>
      <c r="D9" s="100" t="s">
        <v>39</v>
      </c>
      <c r="E9" s="100"/>
      <c r="F9" s="100" t="s">
        <v>81</v>
      </c>
      <c r="G9" s="100"/>
      <c r="H9" s="2"/>
    </row>
    <row r="10" spans="1:8" x14ac:dyDescent="0.25">
      <c r="A10" s="2"/>
      <c r="B10" s="108" t="s">
        <v>131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83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93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140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141</v>
      </c>
      <c r="C16" s="86"/>
      <c r="D16" s="86"/>
      <c r="E16" s="87"/>
      <c r="F16" s="100" t="s">
        <v>127</v>
      </c>
      <c r="G16" s="100"/>
      <c r="H16" s="2"/>
    </row>
    <row r="17" spans="1:8" x14ac:dyDescent="0.25">
      <c r="A17" s="2"/>
      <c r="B17" s="79" t="s">
        <v>139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128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129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2017-10-13T15:50:40Z</dcterms:modified>
</cp:coreProperties>
</file>