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28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B5" i="12" l="1"/>
  <c r="B3" i="12"/>
  <c r="C6" i="28" l="1"/>
  <c r="C5" i="28"/>
  <c r="C4" i="28"/>
  <c r="C3" i="28"/>
  <c r="D3" i="28" l="1"/>
  <c r="E3" i="28" s="1"/>
  <c r="H2" i="15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9" i="12" l="1"/>
  <c r="B10" i="12" s="1"/>
  <c r="H3" i="17"/>
  <c r="B4" i="12" s="1"/>
  <c r="I2" i="15"/>
  <c r="K2" i="15" l="1"/>
  <c r="B2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<sst xmlns="http://schemas.openxmlformats.org/spreadsheetml/2006/main" count="109" uniqueCount="74">
  <si>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</si>
  <si>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</si>
  <si>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</si>
  <si>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</si>
  <si>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</si>
  <si>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</si>
  <si>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</si>
  <si>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</si>
  <si>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</si>
  <si>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</si>
  <si>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</si>
  <si>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</si>
  <si>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</si>
  <si>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</si>
  <si>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</si>
  <si>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</si>
  <si>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</si>
  <si>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</si>
  <si>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</si>
  <si>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</si>
  <si>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</si>
  <si>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</si>
  <si>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</si>
  <si>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</si>
  <si>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</si>
  <si>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</si>
  <si>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</si>
  <si>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</si>
  <si>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</si>
  <si>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</si>
  <si>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</si>
  <si>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</si>
  <si>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</si>
  <si>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</si>
  <si>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</si>
  <si>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</si>
  <si>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</si>
  <si>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</si>
  <si>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</si>
  <si>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</si>
  <si>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</si>
  <si>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</si>
  <si>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</si>
  <si>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</si>
  <si>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</si>
  <si>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</si>
  <si>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</si>
  <si>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</si>
  <si>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</si>
  <si>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</si>
  <si>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</si>
  <si>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</si>
  <si>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</si>
  <si>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</si>
  <si>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</si>
  <si>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</si>
  <si>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</si>
  <si>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</si>
  <si>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</si>
  <si>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</si>
  <si>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</si>
  <si>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</si>
  <si>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</si>
  <si>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</si>
  <si>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</si>
  <si>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</si>
  <si>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</si>
  <si>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</si>
  <si>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</si>
  <si>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</si>
  <si>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</si>
  <si>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Grundvandsbeskyttelse</t>
  </si>
  <si>
    <t xml:space="preserve">Sum </t>
  </si>
  <si>
    <t>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</si>
</sst>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6" fontId="3" fillId="0" borderId="24" xfId="0" applyNumberFormat="1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0" fillId="0" borderId="0" xfId="27368" applyNumberFormat="1" applyFont="1" applyFill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er%20for%20Vand/Sagsbehandling/Prisloft/Drikkevand/Esbjerg%20Vand%20AS%20(V044)/&#216;R2018/Bilag%20B%20-%20Esbjerg%20Vand%20AS%20(V04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lag"/>
      <sheetName val="Faktiske driftsomkostninger"/>
      <sheetName val="Miljø- og servicemål"/>
      <sheetName val="Revisorerklæringer mm."/>
      <sheetName val="Investeringer"/>
      <sheetName val="Finansielle omkostninger"/>
      <sheetName val="Ikke-påvirkelige omkostninger"/>
      <sheetName val="Pristalsreguler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C6">
            <v>1.0149999999999999</v>
          </cell>
        </row>
        <row r="7">
          <cell r="C7">
            <v>1.0007999999999999</v>
          </cell>
        </row>
        <row r="8">
          <cell r="C8">
            <v>0.99619999999999997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>
      <selection activeCell="B5" sqref="B5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1130002</v>
      </c>
      <c r="C2" t="s">
        <v>10</v>
      </c>
    </row>
    <row r="3" spans="1:3" s="21" customFormat="1" x14ac:dyDescent="0.25">
      <c r="A3" s="5" t="s">
        <v>73</v>
      </c>
      <c r="B3" s="32">
        <f>'Miljø- og servicemål'!E3</f>
        <v>279939.19116133329</v>
      </c>
      <c r="C3" s="21" t="s">
        <v>10</v>
      </c>
    </row>
    <row r="4" spans="1:3" s="2" customFormat="1" x14ac:dyDescent="0.25">
      <c r="A4" s="5" t="s">
        <v>8</v>
      </c>
      <c r="B4" s="33">
        <f>'Revisorerklæringer mm.'!H3</f>
        <v>12070.560390666666</v>
      </c>
      <c r="C4" t="s">
        <v>10</v>
      </c>
    </row>
    <row r="5" spans="1:3" s="25" customFormat="1" x14ac:dyDescent="0.25">
      <c r="A5" s="3" t="s">
        <v>11</v>
      </c>
      <c r="B5" s="44">
        <f>SUM(B2:B4)</f>
        <v>1422011.7515519999</v>
      </c>
      <c r="C5" s="53" t="s">
        <v>10</v>
      </c>
    </row>
    <row r="6" spans="1:3" x14ac:dyDescent="0.25">
      <c r="A6" s="43" t="s">
        <v>0</v>
      </c>
      <c r="B6" s="35">
        <f>Investeringer!E3</f>
        <v>820880.75787790003</v>
      </c>
      <c r="C6" s="22" t="s">
        <v>10</v>
      </c>
    </row>
    <row r="7" spans="1:3" x14ac:dyDescent="0.25">
      <c r="A7" s="4" t="s">
        <v>1</v>
      </c>
      <c r="B7" s="32">
        <f>Investeringer!F3</f>
        <v>162123</v>
      </c>
      <c r="C7" t="s">
        <v>10</v>
      </c>
    </row>
    <row r="8" spans="1:3" x14ac:dyDescent="0.25">
      <c r="A8" s="4" t="s">
        <v>2</v>
      </c>
      <c r="B8" s="32">
        <f>Investeringer!G3</f>
        <v>11500</v>
      </c>
      <c r="C8" t="s">
        <v>10</v>
      </c>
    </row>
    <row r="9" spans="1:3" s="21" customFormat="1" x14ac:dyDescent="0.25">
      <c r="A9" s="4" t="s">
        <v>4</v>
      </c>
      <c r="B9" s="32">
        <f>'Finansielle omkostninger'!M3</f>
        <v>64026</v>
      </c>
      <c r="C9" t="s">
        <v>10</v>
      </c>
    </row>
    <row r="10" spans="1:3" s="21" customFormat="1" x14ac:dyDescent="0.25">
      <c r="A10" s="3" t="s">
        <v>44</v>
      </c>
      <c r="B10" s="44">
        <f>SUM(B6:B9)</f>
        <v>1058529.7578779</v>
      </c>
      <c r="C10" s="53" t="s">
        <v>10</v>
      </c>
    </row>
    <row r="11" spans="1:3" s="21" customFormat="1" x14ac:dyDescent="0.25">
      <c r="A11" s="4" t="s">
        <v>9</v>
      </c>
      <c r="B11" s="32">
        <f>'Ikke-påvirkelige omkostninger'!M2</f>
        <v>1429127</v>
      </c>
      <c r="C11" t="s">
        <v>10</v>
      </c>
    </row>
    <row r="12" spans="1:3" s="21" customFormat="1" x14ac:dyDescent="0.25">
      <c r="A12" s="3" t="s">
        <v>65</v>
      </c>
      <c r="B12" s="44">
        <f>SUM(B11:B11)</f>
        <v>1429127</v>
      </c>
      <c r="C12" s="53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54</v>
      </c>
      <c r="B14" s="34">
        <f>SUM(B5,B10,B12)</f>
        <v>3909668.5094299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48</v>
      </c>
      <c r="B16" s="34">
        <f>B14*Pristalsregulering!C8*Pristalsregulering!C9</f>
        <v>3944275.8785615605</v>
      </c>
      <c r="C16" s="26" t="s">
        <v>3</v>
      </c>
    </row>
    <row r="17" spans="2:2" ht="15.75" hidden="1" thickTop="1" x14ac:dyDescent="0.25">
      <c r="B17" s="52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sheetProtection password="DFE9" sheet="1" objects="1" scenarios="1"/>
  <hyperlinks>
    <hyperlink ref="A2" location="'Faktiske driftsomkostninger'!A1" display="Faktiske driftsomkostninger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3" location="'Miljø- og servicemål'!A1" display="Miljø- og servicemål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1714685</v>
      </c>
      <c r="C2" s="45">
        <v>0</v>
      </c>
      <c r="D2" s="45">
        <f>B2+C2</f>
        <v>1714685</v>
      </c>
      <c r="E2" s="46">
        <f>D2</f>
        <v>1714685</v>
      </c>
      <c r="F2" s="45">
        <v>1130002</v>
      </c>
      <c r="G2" s="45">
        <v>0</v>
      </c>
      <c r="H2" s="45">
        <f>IF(ISNUMBER(F2),F2-G2,"")</f>
        <v>1130002</v>
      </c>
      <c r="I2" s="45">
        <f>AVERAGEIF(E2:E4,"&lt;&gt;0")</f>
        <v>1736062.3925626667</v>
      </c>
      <c r="J2" s="45">
        <v>729178</v>
      </c>
      <c r="K2" s="62">
        <f t="shared" ref="K2" si="0">IF(OR(H2&gt;I2,H2=""),IF(OR(I2&gt;J2,J2=""),I2,J2),H2)</f>
        <v>1130002</v>
      </c>
    </row>
    <row r="3" spans="1:11" s="22" customFormat="1" x14ac:dyDescent="0.25">
      <c r="A3" s="27">
        <v>2014</v>
      </c>
      <c r="B3" s="45">
        <v>1539906</v>
      </c>
      <c r="C3" s="45"/>
      <c r="D3" s="45">
        <f t="shared" ref="D3:D4" si="1">B3+C3</f>
        <v>1539906</v>
      </c>
      <c r="E3" s="46">
        <f>D3*Pristalsregulering!C7</f>
        <v>1541137.9247999999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1921974</v>
      </c>
      <c r="C4" s="45"/>
      <c r="D4" s="45">
        <f t="shared" si="1"/>
        <v>1921974</v>
      </c>
      <c r="E4" s="46">
        <f>D4*Pristalsregulering!$C$6*Pristalsregulering!$C$7</f>
        <v>1952364.2528879996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V9"/>
  <sheetViews>
    <sheetView workbookViewId="0">
      <selection activeCell="C5" sqref="C5"/>
    </sheetView>
  </sheetViews>
  <sheetFormatPr defaultColWidth="0" defaultRowHeight="0" customHeight="1" zeroHeight="1" x14ac:dyDescent="0.25"/>
  <cols>
    <col min="1" max="1" width="12.28515625" style="21" customWidth="1"/>
    <col min="2" max="2" width="27" style="21" bestFit="1" customWidth="1"/>
    <col min="3" max="3" width="23.140625" style="79" bestFit="1" customWidth="1"/>
    <col min="4" max="5" width="30.7109375" style="79" customWidth="1"/>
    <col min="6" max="6" width="9.140625" style="21" hidden="1" customWidth="1"/>
    <col min="7" max="7" width="0" style="21" hidden="1" customWidth="1"/>
    <col min="8" max="8" width="9.140625" style="21" hidden="1" customWidth="1"/>
    <col min="9" max="85" width="0" style="21" hidden="1" customWidth="1"/>
    <col min="86" max="86" width="9.140625" style="21" hidden="1" customWidth="1"/>
    <col min="87" max="87" width="0" style="21" hidden="1" customWidth="1"/>
    <col min="88" max="88" width="9.140625" style="21" hidden="1" customWidth="1"/>
    <col min="89" max="111" width="0" style="21" hidden="1" customWidth="1"/>
    <col min="112" max="112" width="9.140625" style="21" hidden="1" customWidth="1"/>
    <col min="113" max="113" width="0" style="21" hidden="1" customWidth="1"/>
    <col min="114" max="117" width="9.140625" style="21" hidden="1" customWidth="1"/>
    <col min="118" max="165" width="0" style="21" hidden="1" customWidth="1"/>
    <col min="166" max="166" width="9.140625" style="21" hidden="1" customWidth="1"/>
    <col min="167" max="167" width="0" style="21" hidden="1" customWidth="1"/>
    <col min="168" max="168" width="9.140625" style="21" hidden="1" customWidth="1"/>
    <col min="169" max="191" width="0" style="21" hidden="1" customWidth="1"/>
    <col min="192" max="192" width="9.140625" style="21" hidden="1" customWidth="1"/>
    <col min="193" max="193" width="0" style="21" hidden="1" customWidth="1"/>
    <col min="194" max="197" width="9.140625" style="21" hidden="1" customWidth="1"/>
    <col min="198" max="217" width="0" style="21" hidden="1" customWidth="1"/>
    <col min="218" max="218" width="9.140625" style="21" hidden="1" customWidth="1"/>
    <col min="219" max="219" width="0" style="21" hidden="1" customWidth="1"/>
    <col min="220" max="226" width="9.140625" style="21" hidden="1" customWidth="1"/>
    <col min="227" max="245" width="0" style="21" hidden="1" customWidth="1"/>
    <col min="246" max="246" width="9.140625" style="21" hidden="1" customWidth="1"/>
    <col min="247" max="247" width="0" style="21" hidden="1" customWidth="1"/>
    <col min="248" max="248" width="9.140625" style="21" hidden="1" customWidth="1"/>
    <col min="249" max="271" width="0" style="21" hidden="1" customWidth="1"/>
    <col min="272" max="272" width="9.140625" style="21" hidden="1" customWidth="1"/>
    <col min="273" max="273" width="0" style="21" hidden="1" customWidth="1"/>
    <col min="274" max="277" width="9.140625" style="21" hidden="1" customWidth="1"/>
    <col min="278" max="297" width="0" style="21" hidden="1" customWidth="1"/>
    <col min="298" max="298" width="9.140625" style="21" hidden="1" customWidth="1"/>
    <col min="299" max="299" width="0" style="21" hidden="1" customWidth="1"/>
    <col min="300" max="306" width="9.140625" style="21" hidden="1" customWidth="1"/>
    <col min="307" max="323" width="0" style="21" hidden="1" customWidth="1"/>
    <col min="324" max="324" width="9.140625" style="21" hidden="1" customWidth="1"/>
    <col min="325" max="325" width="0" style="21" hidden="1" customWidth="1"/>
    <col min="326" max="326" width="9.140625" style="21" hidden="1"/>
    <col min="327" max="327" width="0" style="21" hidden="1"/>
    <col min="328" max="328" width="9.140625" style="21" hidden="1"/>
    <col min="329" max="329" width="0" style="21" hidden="1"/>
    <col min="330" max="330" width="9.140625" style="21" hidden="1"/>
    <col min="331" max="334" width="0" style="21" hidden="1"/>
    <col min="335" max="16384" width="9.140625" style="21" hidden="1"/>
  </cols>
  <sheetData>
    <row r="1" spans="1:5" s="26" customFormat="1" ht="15.75" thickBot="1" x14ac:dyDescent="0.3">
      <c r="A1" s="9"/>
      <c r="B1" s="72" t="s">
        <v>68</v>
      </c>
      <c r="C1" s="63" t="s">
        <v>69</v>
      </c>
      <c r="D1" s="63" t="s">
        <v>70</v>
      </c>
      <c r="E1" s="73"/>
    </row>
    <row r="2" spans="1:5" ht="15.75" thickTop="1" x14ac:dyDescent="0.25">
      <c r="A2" s="74" t="s">
        <v>12</v>
      </c>
      <c r="B2" s="76" t="s">
        <v>71</v>
      </c>
      <c r="C2" s="41" t="s">
        <v>71</v>
      </c>
      <c r="D2" s="41" t="s">
        <v>71</v>
      </c>
      <c r="E2" s="75" t="s">
        <v>72</v>
      </c>
    </row>
    <row r="3" spans="1:5" ht="15" x14ac:dyDescent="0.25">
      <c r="A3" s="27">
        <v>2016</v>
      </c>
      <c r="B3" s="76"/>
      <c r="C3" s="41">
        <f>B3/[1]Pristalsregulering!$C$8</f>
        <v>0</v>
      </c>
      <c r="D3" s="41">
        <f>IF(C4=0,0,AVERAGEIF(C4:C6,"&lt;&gt;0"))+C3</f>
        <v>279939.19116133329</v>
      </c>
      <c r="E3" s="77">
        <f>SUM(D3:D3)</f>
        <v>279939.19116133329</v>
      </c>
    </row>
    <row r="4" spans="1:5" ht="15" x14ac:dyDescent="0.25">
      <c r="A4" s="27">
        <v>2015</v>
      </c>
      <c r="B4" s="32">
        <v>299425</v>
      </c>
      <c r="C4" s="41">
        <f>B4</f>
        <v>299425</v>
      </c>
      <c r="D4" s="41"/>
      <c r="E4" s="78"/>
    </row>
    <row r="5" spans="1:5" ht="15" x14ac:dyDescent="0.25">
      <c r="A5" s="27">
        <v>2014</v>
      </c>
      <c r="B5" s="32">
        <v>282448</v>
      </c>
      <c r="C5" s="41">
        <f>B5*[1]Pristalsregulering!$C$7</f>
        <v>282673.9584</v>
      </c>
      <c r="D5" s="41"/>
      <c r="E5" s="41"/>
    </row>
    <row r="6" spans="1:5" ht="15" x14ac:dyDescent="0.25">
      <c r="A6" s="27">
        <v>2013</v>
      </c>
      <c r="B6" s="32">
        <v>253707</v>
      </c>
      <c r="C6" s="41">
        <f>B6*[1]Pristalsregulering!$C$7*[1]Pristalsregulering!$C$6</f>
        <v>257718.61508399993</v>
      </c>
      <c r="D6" s="41"/>
      <c r="E6" s="41"/>
    </row>
    <row r="7" spans="1:5" ht="15" hidden="1" x14ac:dyDescent="0.25"/>
    <row r="8" spans="1:5" ht="15" hidden="1" x14ac:dyDescent="0.25"/>
    <row r="9" spans="1:5" ht="1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4" t="s">
        <v>21</v>
      </c>
      <c r="C1" s="65"/>
      <c r="D1" s="65"/>
      <c r="E1" s="66" t="s">
        <v>50</v>
      </c>
      <c r="F1" s="67"/>
      <c r="G1" s="68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0</v>
      </c>
      <c r="C3" s="38">
        <v>12485</v>
      </c>
      <c r="D3" s="38">
        <v>0</v>
      </c>
      <c r="E3" s="37">
        <f>B3</f>
        <v>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12070.560390666666</v>
      </c>
    </row>
    <row r="4" spans="1:8" x14ac:dyDescent="0.25">
      <c r="A4" s="30">
        <v>2014</v>
      </c>
      <c r="B4" s="37">
        <v>0</v>
      </c>
      <c r="C4" s="38">
        <v>2209</v>
      </c>
      <c r="D4" s="38">
        <v>0</v>
      </c>
      <c r="E4" s="37">
        <f>B4*Pristalsregulering!$C$7</f>
        <v>0</v>
      </c>
      <c r="F4" s="38">
        <f>C4*Pristalsregulering!$C$7</f>
        <v>2210.7671999999998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0</v>
      </c>
      <c r="C5" s="38">
        <v>21181</v>
      </c>
      <c r="D5" s="38">
        <v>0</v>
      </c>
      <c r="E5" s="37">
        <f>B5*Pristalsregulering!$C$7*Pristalsregulering!$C$6</f>
        <v>0</v>
      </c>
      <c r="F5" s="38">
        <f>C5*Pristalsregulering!$C$7*Pristalsregulering!$C$6</f>
        <v>21515.913971999995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7" t="s">
        <v>63</v>
      </c>
      <c r="C1" s="67"/>
      <c r="D1" s="68"/>
      <c r="E1" s="69" t="s">
        <v>64</v>
      </c>
      <c r="F1" s="69"/>
      <c r="G1" s="69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754001.59659761412</v>
      </c>
      <c r="C3" s="35">
        <v>148432.3175</v>
      </c>
      <c r="D3" s="36">
        <v>11500</v>
      </c>
      <c r="E3" s="32">
        <f>B3*Pristalsregulering!C2*Pristalsregulering!C3*Pristalsregulering!C4*Pristalsregulering!C5*Pristalsregulering!C6*Pristalsregulering!C7</f>
        <v>820880.75787790003</v>
      </c>
      <c r="F3" s="32">
        <v>162123</v>
      </c>
      <c r="G3" s="32">
        <f>D3</f>
        <v>11500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4" t="s">
        <v>37</v>
      </c>
      <c r="C1" s="65"/>
      <c r="D1" s="65"/>
      <c r="E1" s="65"/>
      <c r="F1" s="66" t="s">
        <v>51</v>
      </c>
      <c r="G1" s="67"/>
      <c r="H1" s="67"/>
      <c r="I1" s="67"/>
      <c r="J1" s="70" t="s">
        <v>26</v>
      </c>
      <c r="K1" s="69"/>
      <c r="L1" s="71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64026</v>
      </c>
      <c r="D3" s="35">
        <v>0</v>
      </c>
      <c r="E3" s="36">
        <v>0</v>
      </c>
      <c r="F3" s="35">
        <f>B3</f>
        <v>0</v>
      </c>
      <c r="G3" s="35">
        <f>C3</f>
        <v>64026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64026</v>
      </c>
      <c r="L3" s="39">
        <f>AVERAGE(H3:H5)+AVERAGE(I3:I5)</f>
        <v>0</v>
      </c>
      <c r="M3" s="40">
        <f>SUM(J3:L3)</f>
        <v>64026</v>
      </c>
      <c r="N3" s="22"/>
    </row>
    <row r="4" spans="1:14" x14ac:dyDescent="0.25">
      <c r="A4" s="27">
        <v>2014</v>
      </c>
      <c r="B4" s="41">
        <v>0</v>
      </c>
      <c r="C4" s="35">
        <v>79575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79638.659999999989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106009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107685.21430799998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32523</v>
      </c>
      <c r="C2" s="38">
        <v>0</v>
      </c>
      <c r="D2" s="38">
        <v>0</v>
      </c>
      <c r="E2" s="38">
        <v>0</v>
      </c>
      <c r="F2" s="38">
        <v>0</v>
      </c>
      <c r="G2" s="38">
        <v>1396604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1429127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2017-09-14T20:09:15Z</dcterms:modified>
</cp:coreProperties>
</file>