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Klima" sheetId="23" r:id="rId14"/>
  </sheets>
  <calcPr calcId="145621"/>
</workbook>
</file>

<file path=xl/calcChain.xml><?xml version="1.0" encoding="utf-8"?>
<calcChain xmlns="http://schemas.openxmlformats.org/spreadsheetml/2006/main">
  <c r="G10" i="23" l="1"/>
  <c r="E24" i="2" s="1"/>
  <c r="G24" i="2" l="1"/>
  <c r="E16" i="15" l="1"/>
  <c r="G16" i="15" s="1"/>
  <c r="G19" i="15" s="1"/>
  <c r="G36" i="2"/>
  <c r="G13" i="10"/>
  <c r="E12" i="2" l="1"/>
  <c r="G11" i="10" l="1"/>
  <c r="F18" i="20"/>
  <c r="F19" i="20" s="1"/>
  <c r="E15" i="2" s="1"/>
  <c r="G19" i="19" l="1"/>
  <c r="G20" i="19" s="1"/>
  <c r="E11" i="2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3" i="9" s="1"/>
  <c r="G16" i="9" s="1"/>
  <c r="D11" i="20"/>
  <c r="D12" i="20" s="1"/>
  <c r="E13" i="2" s="1"/>
  <c r="E17" i="2"/>
  <c r="E16" i="2"/>
  <c r="G9" i="9" l="1"/>
  <c r="G9" i="8"/>
  <c r="G12" i="8" s="1"/>
  <c r="E10" i="2"/>
  <c r="E10" i="15" s="1"/>
  <c r="G12" i="7"/>
  <c r="E9" i="2" l="1"/>
  <c r="E15" i="13"/>
  <c r="F11" i="11"/>
  <c r="F53" i="11"/>
  <c r="E19" i="2" l="1"/>
  <c r="E18" i="15"/>
  <c r="G18" i="15" s="1"/>
  <c r="G11" i="9" l="1"/>
  <c r="G12" i="9" s="1"/>
  <c r="E13" i="15" s="1"/>
  <c r="G30" i="13"/>
  <c r="E35" i="13" l="1"/>
  <c r="G35" i="13" s="1"/>
  <c r="E27" i="13"/>
  <c r="E19" i="13"/>
  <c r="G11" i="12"/>
  <c r="E28" i="2" s="1"/>
  <c r="G29" i="12"/>
  <c r="E31" i="2" s="1"/>
  <c r="G23" i="12"/>
  <c r="E30" i="2" s="1"/>
  <c r="G17" i="12"/>
  <c r="E29" i="2" s="1"/>
  <c r="F10" i="11"/>
  <c r="F54" i="11" s="1"/>
  <c r="E26" i="2"/>
  <c r="G26" i="2" s="1"/>
  <c r="G33" i="12" l="1"/>
  <c r="G35" i="12" s="1"/>
  <c r="E32" i="2" s="1"/>
  <c r="E28" i="13"/>
  <c r="G28" i="13" s="1"/>
  <c r="G36" i="13" s="1"/>
  <c r="E35" i="2" s="1"/>
  <c r="G35" i="2" s="1"/>
  <c r="G17" i="9"/>
  <c r="E21" i="2" s="1"/>
  <c r="E33" i="2" l="1"/>
  <c r="G33" i="2" s="1"/>
  <c r="E20" i="2" l="1"/>
  <c r="E22" i="2" s="1"/>
  <c r="G22" i="2" l="1"/>
  <c r="E9" i="15" l="1"/>
  <c r="E12" i="15" s="1"/>
  <c r="E11" i="15" l="1"/>
  <c r="E14" i="15" s="1"/>
  <c r="G14" i="15" s="1"/>
</calcChain>
</file>

<file path=xl/sharedStrings.xml><?xml version="1.0" encoding="utf-8"?>
<sst xmlns="http://schemas.openxmlformats.org/spreadsheetml/2006/main" count="438" uniqueCount="215">
  <si>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</si>
  <si>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</si>
  <si>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</si>
  <si>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</si>
  <si>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</si>
  <si>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</si>
  <si>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</si>
  <si>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</si>
  <si>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</si>
  <si>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</si>
  <si>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</si>
  <si>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</si>
  <si>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</si>
  <si>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</si>
  <si>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</si>
  <si>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</si>
  <si>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</si>
  <si>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</si>
  <si>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</si>
  <si>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</si>
  <si>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</si>
  <si>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</si>
  <si>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</si>
  <si>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</si>
  <si>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</si>
  <si>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</si>
  <si>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</si>
  <si>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</si>
  <si>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</si>
  <si>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</si>
  <si>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</si>
  <si>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</si>
  <si>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</si>
  <si>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</si>
  <si>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</si>
  <si>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</si>
  <si>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</si>
  <si>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</si>
  <si>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</si>
  <si>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</si>
  <si>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</si>
  <si>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</si>
  <si>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</si>
  <si>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</si>
  <si>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</si>
  <si>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</si>
  <si>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</si>
  <si>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</si>
  <si>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</si>
  <si>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</si>
  <si>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</si>
  <si>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</si>
  <si>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</si>
  <si>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</si>
  <si>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</si>
  <si>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</si>
  <si>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</si>
  <si>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</si>
  <si>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</si>
  <si>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</si>
  <si>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</si>
  <si>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</si>
  <si>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</si>
  <si>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</si>
  <si>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</si>
  <si>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</si>
  <si>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</si>
  <si>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</si>
  <si>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</si>
  <si>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</si>
  <si>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</si>
  <si>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</si>
  <si>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</si>
  <si>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</si>
  <si>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</si>
  <si>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</si>
  <si>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</si>
  <si>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</si>
  <si>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</si>
  <si>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</si>
  <si>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</si>
  <si>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</si>
  <si>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</si>
  <si>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</si>
  <si>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</si>
  <si>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</si>
  <si>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</si>
  <si>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</si>
  <si>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</si>
  <si>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</si>
  <si>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</si>
  <si>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</si>
  <si>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</si>
  <si>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</si>
  <si>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</si>
  <si>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</si>
  <si>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</si>
  <si>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</si>
  <si>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</si>
  <si>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</si>
  <si>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</si>
  <si>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</si>
  <si>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</si>
  <si>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</si>
  <si>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</si>
  <si>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</si>
  <si>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</si>
  <si>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</si>
  <si>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</si>
  <si>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</si>
  <si>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</si>
  <si>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</si>
  <si>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</si>
  <si>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</si>
  <si>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</si>
  <si>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</si>
  <si>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</si>
  <si>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</si>
  <si>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</si>
  <si>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</si>
  <si>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</si>
  <si>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</si>
  <si>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</si>
  <si>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</si>
  <si>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</si>
  <si>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</si>
  <si>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</si>
  <si>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</si>
  <si>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</si>
  <si>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</si>
  <si>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</si>
  <si>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</si>
  <si>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</si>
  <si>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</si>
  <si>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</si>
  <si>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</si>
  <si>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</si>
  <si>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</si>
  <si>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</si>
  <si>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</si>
  <si>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</si>
  <si>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</si>
  <si>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</si>
  <si>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</si>
  <si>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</si>
  <si>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</si>
  <si>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</si>
  <si>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Beluftningstanke, Mek/EL</t>
  </si>
  <si>
    <t>Beluftningstanke, SRO</t>
  </si>
  <si>
    <t>Brønde</t>
  </si>
  <si>
    <t>Installationer "mekaniske riste og SRO" Miljøklasse A. (7-20 m2) - Mek/EL</t>
  </si>
  <si>
    <t>Installationer "mekaniske riste og SRO" Miljøklasse A. (7-20 m2) - SRO</t>
  </si>
  <si>
    <t>Køretøjer, entreprenørmaskiner</t>
  </si>
  <si>
    <t>Køretøjer, små lastvogne (&lt; 3.500 kg.)</t>
  </si>
  <si>
    <t>Andre bygninger (tekniske installationer, målere mv.)</t>
  </si>
  <si>
    <t>Indløb-/udløbsarrangement</t>
  </si>
  <si>
    <t>Jordbassin Klasse A</t>
  </si>
  <si>
    <t>Ledningsnet ≤ Ø 200 mm</t>
  </si>
  <si>
    <t>Ø 200 mm &lt; Ledningsnet ≤ Ø 500 mm</t>
  </si>
  <si>
    <t>Pumpestationer i brønde (&lt; 6,25 m2), Konstruktioner</t>
  </si>
  <si>
    <t>Pumpestationer i brønde (&lt; 6,25 m2), Mek/EL</t>
  </si>
  <si>
    <t>Pumpestationer i brønde (&lt; 6,25 m2), SRO</t>
  </si>
  <si>
    <t>Sand- og fedtfang, Kontruktioner</t>
  </si>
  <si>
    <t>Sand- og fedtfang, Mek/EL</t>
  </si>
  <si>
    <t>Sand- og fedtfang, SRO</t>
  </si>
  <si>
    <t>Stik</t>
  </si>
  <si>
    <t>Tryksatte minipumpestationer (husstandssystemer)</t>
  </si>
  <si>
    <t>Porte</t>
  </si>
  <si>
    <t>Solceller SRO del</t>
  </si>
  <si>
    <t>Solceller mekanisk del</t>
  </si>
  <si>
    <t>Administrationbygninger</t>
  </si>
  <si>
    <t>Beluftningstanke, Konstruktioner</t>
  </si>
  <si>
    <t>Indløb med riste, Mek/EL</t>
  </si>
  <si>
    <t>Indløb med riste, SRO</t>
  </si>
  <si>
    <t>Ø 500 mm &lt; Ledningsnet ≤ Ø 800 mm</t>
  </si>
  <si>
    <t>Pumpestationer m. overbygning (&lt; 20 m2), Konstruktioner</t>
  </si>
  <si>
    <t>Pumpestationer m. overbygning (&lt; 20 m2), Mek/EL</t>
  </si>
  <si>
    <t>Slutafvanding, slam - højteknologisk (centrifuger), Mek/El</t>
  </si>
  <si>
    <t>Slutafvanding, slam - højteknologisk (centrifuger), SRO</t>
  </si>
  <si>
    <t>Strømpeforing ≤ Ø 200 mm</t>
  </si>
  <si>
    <t>Strømpeforing 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</si>
  <si>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</si>
  <si>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</si>
  <si>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</si>
  <si>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</si>
  <si>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</si>
  <si>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</si>
  <si>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</si>
  <si>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</si>
  <si>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</si>
  <si>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</si>
  <si>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</si>
  <si>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</si>
  <si>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</si>
  <si>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</si>
  <si>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</si>
  <si>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</si>
  <si>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</si>
  <si>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</si>
  <si>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</si>
  <si>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</si>
  <si>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</si>
  <si>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</si>
  <si>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</si>
  <si>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</si>
  <si>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</si>
  <si>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</si>
  <si>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</si>
  <si>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Medfinansiering af klimatilpasningsprojekter efter gl. regulering</t>
  </si>
  <si>
    <t>Tillæg til medfinansiering af klimatilpasningsprojekter</t>
  </si>
  <si>
    <t>Gl. Lyngevej, 3450 Allerød</t>
  </si>
  <si>
    <t>Tillæg i alt</t>
  </si>
  <si>
    <t>Fane 13: Medfinansiering af klimatilpasningsprojekter efter gl. regulering</t>
  </si>
  <si>
    <t>Tildelte nye tillæg i den økonomiske ramme for 2017 til budgetterede omkostninger til medfinansiering af klimatilpasningsprojekter</t>
  </si>
  <si>
    <t>Fane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</si>
</sst>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43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7" fillId="3" borderId="1" xfId="0" applyFont="1" applyFill="1" applyBorder="1"/>
    <xf numFmtId="0" fontId="9" fillId="2" borderId="0" xfId="0" applyFont="1" applyFill="1"/>
    <xf numFmtId="3" fontId="7" fillId="3" borderId="1" xfId="0" applyNumberFormat="1" applyFont="1" applyFill="1" applyBorder="1"/>
    <xf numFmtId="0" fontId="0" fillId="2" borderId="0" xfId="0" applyFill="1" applyProtection="1"/>
    <xf numFmtId="0" fontId="0" fillId="0" borderId="0" xfId="0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>
      <protection locked="0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3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vertical="center"/>
    </xf>
    <xf numFmtId="0" fontId="1" fillId="12" borderId="6" xfId="2" applyFont="1" applyFill="1" applyBorder="1" applyAlignment="1" applyProtection="1">
      <alignment horizontal="center" vertical="center" wrapText="1"/>
    </xf>
    <xf numFmtId="0" fontId="1" fillId="12" borderId="0" xfId="2" applyFont="1" applyFill="1" applyBorder="1" applyAlignment="1" applyProtection="1">
      <alignment horizontal="center" vertical="center" wrapText="1"/>
    </xf>
    <xf numFmtId="0" fontId="1" fillId="12" borderId="7" xfId="2" applyFont="1" applyFill="1" applyBorder="1" applyAlignment="1" applyProtection="1">
      <alignment horizontal="center" vertical="center" wrapText="1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>
      <selection activeCell="E27" sqref="E27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ht="30.75" customHeight="1" x14ac:dyDescent="0.25">
      <c r="A25" s="2"/>
      <c r="B25" s="2"/>
      <c r="C25" s="139" t="s">
        <v>214</v>
      </c>
      <c r="D25" s="140" t="s">
        <v>208</v>
      </c>
      <c r="E25" s="141"/>
      <c r="F25" s="141"/>
      <c r="G25" s="14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Klima'!A1" display="Medfinansiering af klimatilpasningsprojekter efter gl. reguler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197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2269931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4564400</v>
      </c>
      <c r="H10" s="23" t="s">
        <v>4</v>
      </c>
      <c r="I10" s="2"/>
    </row>
    <row r="11" spans="1:9" x14ac:dyDescent="0.25">
      <c r="A11" s="2"/>
      <c r="B11" s="96" t="s">
        <v>198</v>
      </c>
      <c r="C11" s="97"/>
      <c r="D11" s="97"/>
      <c r="E11" s="97"/>
      <c r="F11" s="98"/>
      <c r="G11" s="21">
        <f>G9-G10</f>
        <v>-2294469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199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4141201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1177434</v>
      </c>
      <c r="H16" s="23" t="s">
        <v>4</v>
      </c>
      <c r="I16" s="2"/>
    </row>
    <row r="17" spans="1:9" x14ac:dyDescent="0.25">
      <c r="A17" s="2"/>
      <c r="B17" s="96" t="s">
        <v>199</v>
      </c>
      <c r="C17" s="97"/>
      <c r="D17" s="97"/>
      <c r="E17" s="97"/>
      <c r="F17" s="98"/>
      <c r="G17" s="21">
        <f>G15-G16</f>
        <v>2963767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200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36270</v>
      </c>
      <c r="H22" s="23" t="s">
        <v>4</v>
      </c>
      <c r="I22" s="2"/>
    </row>
    <row r="23" spans="1:9" x14ac:dyDescent="0.25">
      <c r="A23" s="2"/>
      <c r="B23" s="96" t="s">
        <v>200</v>
      </c>
      <c r="C23" s="97"/>
      <c r="D23" s="97"/>
      <c r="E23" s="97"/>
      <c r="F23" s="98"/>
      <c r="G23" s="21">
        <f>G21-G22</f>
        <v>-36270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201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201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2016'!F54</f>
        <v>1129921.3050666666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753071.83333333337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376849.47173333319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49757523.510156341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20009748.471617207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4086094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1007027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1797102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26899971.471617207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5333178.53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5333178.53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-1608239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-28208463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-6672527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-9501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-36498730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-4265579.9983827919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6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41567057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3607025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45174082</v>
      </c>
      <c r="F35" s="38" t="s">
        <v>4</v>
      </c>
      <c r="G35" s="18">
        <f>-E35</f>
        <v>-45174082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4583441.5101563409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194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117" t="s">
        <v>195</v>
      </c>
      <c r="C10" s="118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190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207</v>
      </c>
      <c r="C16" s="90"/>
      <c r="D16" s="90"/>
      <c r="E16" s="91"/>
      <c r="F16" s="115" t="s">
        <v>191</v>
      </c>
      <c r="G16" s="115"/>
      <c r="H16" s="2"/>
    </row>
    <row r="17" spans="1:8" x14ac:dyDescent="0.25">
      <c r="A17" s="2"/>
      <c r="B17" s="86" t="s">
        <v>203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192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193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5" t="s">
        <v>47</v>
      </c>
      <c r="E9" s="115"/>
      <c r="F9" s="115" t="s">
        <v>127</v>
      </c>
      <c r="G9" s="115"/>
      <c r="H9" s="2"/>
    </row>
    <row r="10" spans="1:8" x14ac:dyDescent="0.25">
      <c r="A10" s="2"/>
      <c r="B10" s="35" t="s">
        <v>202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Layout" zoomScaleNormal="100" workbookViewId="0"/>
  </sheetViews>
  <sheetFormatPr defaultRowHeight="15" x14ac:dyDescent="0.25"/>
  <cols>
    <col min="1" max="4" width="9.140625" style="122"/>
    <col min="5" max="5" width="14.42578125" style="122" customWidth="1"/>
    <col min="6" max="6" width="14.85546875" style="122" customWidth="1"/>
    <col min="7" max="7" width="9" style="122" customWidth="1"/>
    <col min="8" max="8" width="3.28515625" style="122" customWidth="1"/>
    <col min="9" max="9" width="9.28515625" style="122" customWidth="1"/>
    <col min="10" max="16384" width="9.140625" style="122"/>
  </cols>
  <sheetData>
    <row r="1" spans="1:9" x14ac:dyDescent="0.2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25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25">
      <c r="A3" s="123"/>
      <c r="B3" s="134" t="s">
        <v>212</v>
      </c>
      <c r="C3" s="134"/>
      <c r="D3" s="134"/>
      <c r="E3" s="134"/>
      <c r="F3" s="134"/>
      <c r="G3" s="134"/>
      <c r="H3" s="134"/>
      <c r="I3" s="123"/>
    </row>
    <row r="4" spans="1:9" ht="25.5" customHeight="1" x14ac:dyDescent="0.25">
      <c r="A4" s="123"/>
      <c r="B4" s="134"/>
      <c r="C4" s="134"/>
      <c r="D4" s="134"/>
      <c r="E4" s="134"/>
      <c r="F4" s="134"/>
      <c r="G4" s="134"/>
      <c r="H4" s="134"/>
      <c r="I4" s="123"/>
    </row>
    <row r="5" spans="1:9" x14ac:dyDescent="0.2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2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25">
      <c r="A7" s="123"/>
      <c r="B7" s="123"/>
      <c r="C7" s="123"/>
      <c r="D7" s="123"/>
      <c r="E7" s="123"/>
      <c r="F7" s="123"/>
      <c r="G7" s="123"/>
      <c r="H7" s="123"/>
      <c r="I7" s="123"/>
    </row>
    <row r="8" spans="1:9" ht="27" customHeight="1" x14ac:dyDescent="0.25">
      <c r="A8" s="123"/>
      <c r="B8" s="135" t="s">
        <v>213</v>
      </c>
      <c r="C8" s="136"/>
      <c r="D8" s="136"/>
      <c r="E8" s="136"/>
      <c r="F8" s="136"/>
      <c r="G8" s="136"/>
      <c r="H8" s="137"/>
      <c r="I8" s="123"/>
    </row>
    <row r="9" spans="1:9" x14ac:dyDescent="0.25">
      <c r="A9" s="123"/>
      <c r="B9" s="105" t="s">
        <v>210</v>
      </c>
      <c r="C9" s="106"/>
      <c r="D9" s="106"/>
      <c r="E9" s="106"/>
      <c r="F9" s="138"/>
      <c r="G9" s="133">
        <v>736747</v>
      </c>
      <c r="H9" s="125" t="s">
        <v>4</v>
      </c>
      <c r="I9" s="123"/>
    </row>
    <row r="10" spans="1:9" x14ac:dyDescent="0.25">
      <c r="A10" s="123"/>
      <c r="B10" s="119" t="s">
        <v>211</v>
      </c>
      <c r="C10" s="121"/>
      <c r="D10" s="121"/>
      <c r="E10" s="121"/>
      <c r="F10" s="120"/>
      <c r="G10" s="128">
        <f>SUM(G9:G9)</f>
        <v>736747</v>
      </c>
      <c r="H10" s="126" t="s">
        <v>4</v>
      </c>
      <c r="I10" s="123"/>
    </row>
    <row r="11" spans="1:9" x14ac:dyDescent="0.25">
      <c r="A11" s="123"/>
      <c r="B11" s="127"/>
      <c r="C11" s="127"/>
      <c r="D11" s="127"/>
      <c r="E11" s="127"/>
      <c r="F11" s="127"/>
      <c r="G11" s="127"/>
      <c r="H11" s="127"/>
      <c r="I11" s="123"/>
    </row>
    <row r="12" spans="1:9" x14ac:dyDescent="0.25">
      <c r="A12" s="123"/>
      <c r="B12" s="127"/>
      <c r="C12" s="127"/>
      <c r="D12" s="127"/>
      <c r="E12" s="127"/>
      <c r="F12" s="127"/>
      <c r="G12" s="127"/>
      <c r="H12" s="127"/>
      <c r="I12" s="123"/>
    </row>
    <row r="13" spans="1:9" x14ac:dyDescent="0.25">
      <c r="A13" s="123"/>
      <c r="B13" s="123"/>
      <c r="C13" s="123"/>
      <c r="D13" s="123"/>
      <c r="E13" s="123"/>
      <c r="F13" s="123"/>
      <c r="G13" s="123"/>
      <c r="H13" s="123"/>
      <c r="I13" s="123"/>
    </row>
    <row r="14" spans="1:9" x14ac:dyDescent="0.25">
      <c r="A14" s="123"/>
      <c r="B14" s="123"/>
      <c r="C14" s="123"/>
      <c r="D14" s="123"/>
      <c r="E14" s="123"/>
      <c r="F14" s="123"/>
      <c r="G14" s="123"/>
      <c r="H14" s="123"/>
      <c r="I14" s="123"/>
    </row>
    <row r="15" spans="1:9" x14ac:dyDescent="0.25">
      <c r="A15" s="123"/>
      <c r="B15" s="123"/>
      <c r="C15" s="123"/>
      <c r="D15" s="123"/>
      <c r="E15" s="123"/>
      <c r="F15" s="123"/>
      <c r="G15" s="123"/>
      <c r="H15" s="123"/>
      <c r="I15" s="123"/>
    </row>
    <row r="16" spans="1:9" x14ac:dyDescent="0.25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9" x14ac:dyDescent="0.25">
      <c r="A17" s="124"/>
      <c r="B17" s="124"/>
      <c r="C17" s="124"/>
      <c r="D17" s="124"/>
      <c r="E17" s="124"/>
      <c r="F17" s="124"/>
      <c r="G17" s="124"/>
      <c r="H17" s="124"/>
      <c r="I17" s="124"/>
    </row>
    <row r="18" spans="1:9" x14ac:dyDescent="0.25">
      <c r="A18" s="124"/>
      <c r="B18" s="124"/>
      <c r="C18" s="124"/>
      <c r="D18" s="124"/>
      <c r="E18" s="124"/>
      <c r="F18" s="124"/>
      <c r="G18" s="124"/>
      <c r="H18" s="124"/>
      <c r="I18" s="124"/>
    </row>
    <row r="19" spans="1:9" x14ac:dyDescent="0.25">
      <c r="A19" s="124"/>
      <c r="B19" s="124"/>
      <c r="C19" s="124"/>
      <c r="D19" s="124"/>
      <c r="E19" s="124"/>
      <c r="F19" s="124"/>
      <c r="G19" s="124"/>
      <c r="H19" s="124"/>
      <c r="I19" s="124"/>
    </row>
    <row r="20" spans="1:9" x14ac:dyDescent="0.25">
      <c r="A20" s="124"/>
      <c r="B20" s="124"/>
      <c r="C20" s="124"/>
      <c r="D20" s="124"/>
      <c r="E20" s="124"/>
      <c r="F20" s="124"/>
      <c r="G20" s="124"/>
      <c r="H20" s="124"/>
      <c r="I20" s="124"/>
    </row>
    <row r="21" spans="1:9" x14ac:dyDescent="0.25">
      <c r="A21" s="124"/>
      <c r="B21" s="124"/>
      <c r="C21" s="124"/>
      <c r="D21" s="124"/>
      <c r="E21" s="124"/>
      <c r="F21" s="124"/>
      <c r="G21" s="124"/>
      <c r="H21" s="124"/>
      <c r="I21" s="124"/>
    </row>
    <row r="22" spans="1:9" x14ac:dyDescent="0.25">
      <c r="A22" s="124"/>
      <c r="B22" s="124"/>
      <c r="C22" s="124"/>
      <c r="D22" s="124"/>
      <c r="E22" s="124"/>
      <c r="F22" s="124"/>
      <c r="G22" s="124"/>
      <c r="H22" s="124"/>
      <c r="I22" s="124"/>
    </row>
    <row r="23" spans="1:9" x14ac:dyDescent="0.25">
      <c r="A23" s="124"/>
      <c r="B23" s="124"/>
      <c r="C23" s="124"/>
      <c r="D23" s="124"/>
      <c r="E23" s="124"/>
      <c r="F23" s="124"/>
      <c r="G23" s="124"/>
      <c r="H23" s="124"/>
      <c r="I23" s="124"/>
    </row>
    <row r="24" spans="1:9" x14ac:dyDescent="0.25">
      <c r="A24" s="124"/>
      <c r="B24" s="124"/>
      <c r="C24" s="124"/>
      <c r="D24" s="124"/>
      <c r="E24" s="124"/>
      <c r="F24" s="124"/>
      <c r="G24" s="124"/>
      <c r="H24" s="124"/>
      <c r="I24" s="124"/>
    </row>
    <row r="25" spans="1:9" x14ac:dyDescent="0.25">
      <c r="A25" s="124"/>
      <c r="B25" s="124"/>
      <c r="C25" s="124"/>
      <c r="D25" s="124"/>
      <c r="E25" s="124"/>
      <c r="F25" s="124"/>
      <c r="G25" s="124"/>
      <c r="H25" s="124"/>
      <c r="I25" s="124"/>
    </row>
    <row r="26" spans="1:9" x14ac:dyDescent="0.25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9" x14ac:dyDescent="0.25">
      <c r="A27" s="124"/>
      <c r="B27" s="124"/>
      <c r="C27" s="124"/>
      <c r="D27" s="124"/>
      <c r="E27" s="124"/>
      <c r="F27" s="124"/>
      <c r="G27" s="124"/>
      <c r="H27" s="124"/>
      <c r="I27" s="124"/>
    </row>
    <row r="28" spans="1:9" x14ac:dyDescent="0.25">
      <c r="A28" s="124"/>
      <c r="B28" s="124"/>
      <c r="C28" s="124"/>
      <c r="D28" s="124"/>
      <c r="E28" s="124"/>
      <c r="F28" s="124"/>
      <c r="G28" s="124"/>
      <c r="H28" s="124"/>
      <c r="I28" s="124"/>
    </row>
    <row r="29" spans="1:9" x14ac:dyDescent="0.25">
      <c r="A29" s="124"/>
      <c r="B29" s="124"/>
      <c r="C29" s="124"/>
      <c r="D29" s="124"/>
      <c r="E29" s="124"/>
      <c r="F29" s="124"/>
      <c r="G29" s="124"/>
      <c r="H29" s="124"/>
      <c r="I29" s="124"/>
    </row>
    <row r="30" spans="1:9" x14ac:dyDescent="0.25">
      <c r="A30" s="124"/>
      <c r="B30" s="124"/>
      <c r="C30" s="124"/>
      <c r="D30" s="124"/>
      <c r="E30" s="124"/>
      <c r="F30" s="124"/>
      <c r="G30" s="124"/>
      <c r="H30" s="124"/>
      <c r="I30" s="124"/>
    </row>
    <row r="31" spans="1:9" x14ac:dyDescent="0.25">
      <c r="A31" s="124"/>
      <c r="B31" s="124"/>
      <c r="C31" s="124"/>
      <c r="D31" s="124"/>
      <c r="E31" s="124"/>
      <c r="F31" s="124"/>
      <c r="G31" s="124"/>
      <c r="H31" s="124"/>
      <c r="I31" s="124"/>
    </row>
    <row r="32" spans="1:9" x14ac:dyDescent="0.25">
      <c r="A32" s="124"/>
      <c r="B32" s="124"/>
      <c r="C32" s="124"/>
      <c r="D32" s="124"/>
      <c r="E32" s="124"/>
      <c r="F32" s="124"/>
      <c r="G32" s="124"/>
      <c r="H32" s="124"/>
      <c r="I32" s="124"/>
    </row>
    <row r="33" spans="1:9" x14ac:dyDescent="0.25">
      <c r="A33" s="124"/>
      <c r="B33" s="124"/>
      <c r="C33" s="124"/>
      <c r="D33" s="124"/>
      <c r="E33" s="124"/>
      <c r="F33" s="124"/>
      <c r="G33" s="124"/>
      <c r="H33" s="124"/>
      <c r="I33" s="124"/>
    </row>
    <row r="34" spans="1:9" x14ac:dyDescent="0.25">
      <c r="A34" s="124"/>
      <c r="B34" s="124"/>
      <c r="C34" s="124"/>
      <c r="D34" s="124"/>
      <c r="E34" s="124"/>
      <c r="F34" s="124"/>
      <c r="G34" s="124"/>
      <c r="H34" s="124"/>
      <c r="I34" s="124"/>
    </row>
    <row r="35" spans="1:9" x14ac:dyDescent="0.25">
      <c r="A35" s="124"/>
      <c r="B35" s="124"/>
      <c r="C35" s="124"/>
      <c r="D35" s="124"/>
      <c r="E35" s="124"/>
      <c r="F35" s="124"/>
      <c r="G35" s="124"/>
      <c r="H35" s="124"/>
      <c r="I35" s="124"/>
    </row>
    <row r="36" spans="1:9" x14ac:dyDescent="0.25">
      <c r="A36" s="124"/>
      <c r="B36" s="124"/>
      <c r="C36" s="124"/>
      <c r="D36" s="124"/>
      <c r="E36" s="124"/>
      <c r="F36" s="124"/>
      <c r="G36" s="124"/>
      <c r="H36" s="124"/>
      <c r="I36" s="124"/>
    </row>
    <row r="37" spans="1:9" x14ac:dyDescent="0.25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9" x14ac:dyDescent="0.25">
      <c r="A38" s="124"/>
      <c r="B38" s="124"/>
      <c r="C38" s="124"/>
      <c r="D38" s="124"/>
      <c r="E38" s="124"/>
      <c r="F38" s="124"/>
      <c r="G38" s="124"/>
      <c r="H38" s="124"/>
      <c r="I38" s="124"/>
    </row>
    <row r="39" spans="1:9" x14ac:dyDescent="0.25">
      <c r="A39" s="124"/>
      <c r="B39" s="124"/>
      <c r="C39" s="124"/>
      <c r="D39" s="124"/>
      <c r="E39" s="124"/>
      <c r="F39" s="124"/>
      <c r="G39" s="124"/>
      <c r="H39" s="124"/>
      <c r="I39" s="124"/>
    </row>
    <row r="40" spans="1:9" x14ac:dyDescent="0.25">
      <c r="A40" s="124"/>
      <c r="B40" s="124"/>
      <c r="C40" s="124"/>
      <c r="D40" s="124"/>
      <c r="E40" s="124"/>
      <c r="F40" s="124"/>
      <c r="G40" s="124"/>
      <c r="H40" s="124"/>
      <c r="I40" s="124"/>
    </row>
    <row r="41" spans="1:9" x14ac:dyDescent="0.25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x14ac:dyDescent="0.25">
      <c r="A42" s="124"/>
      <c r="B42" s="124"/>
      <c r="C42" s="124"/>
      <c r="D42" s="124"/>
      <c r="E42" s="124"/>
      <c r="F42" s="124"/>
      <c r="G42" s="124"/>
      <c r="H42" s="124"/>
      <c r="I42" s="124"/>
    </row>
    <row r="43" spans="1:9" x14ac:dyDescent="0.25">
      <c r="A43" s="124"/>
      <c r="B43" s="124"/>
      <c r="C43" s="124"/>
      <c r="D43" s="124"/>
      <c r="E43" s="124"/>
      <c r="F43" s="124"/>
      <c r="G43" s="124"/>
      <c r="H43" s="124"/>
      <c r="I43" s="124"/>
    </row>
    <row r="44" spans="1:9" x14ac:dyDescent="0.25">
      <c r="A44" s="124"/>
      <c r="B44" s="124"/>
      <c r="C44" s="124"/>
      <c r="D44" s="124"/>
      <c r="E44" s="124"/>
      <c r="F44" s="124"/>
      <c r="G44" s="124"/>
      <c r="H44" s="124"/>
      <c r="I44" s="124"/>
    </row>
    <row r="45" spans="1:9" x14ac:dyDescent="0.25">
      <c r="A45" s="124"/>
      <c r="B45" s="124"/>
      <c r="C45" s="124"/>
      <c r="D45" s="124"/>
      <c r="E45" s="124"/>
      <c r="F45" s="124"/>
      <c r="G45" s="124"/>
      <c r="H45" s="124"/>
      <c r="I45" s="124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</sheetData>
  <sheetProtection password="DFE9" sheet="1" objects="1" scenarios="1"/>
  <mergeCells count="4">
    <mergeCell ref="B3:H4"/>
    <mergeCell ref="B8:H8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topLeftCell="A4" zoomScaleNormal="100" workbookViewId="0">
      <selection activeCell="B23" sqref="B23:H24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51287219.301692888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6712107.5293440996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omk.'!G20</f>
        <v>-4201679.3890775004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205</v>
      </c>
      <c r="C12" s="49"/>
      <c r="D12" s="50"/>
      <c r="E12" s="12">
        <f>'Fane 5. Individuelt eff.krav'!G10</f>
        <v>-758061.73583997495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190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810730.86809356976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744879.87205443566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827117.42895368952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196</v>
      </c>
      <c r="C22" s="94"/>
      <c r="D22" s="95"/>
      <c r="E22" s="18">
        <f>SUM(E9,E11:E17,E19)-SUM(E20:E21)</f>
        <v>45566211.743860856</v>
      </c>
      <c r="F22" s="19" t="s">
        <v>4</v>
      </c>
      <c r="G22" s="18">
        <f>E22</f>
        <v>45566211.743860856</v>
      </c>
      <c r="H22" s="19" t="s">
        <v>4</v>
      </c>
      <c r="I22" s="2"/>
    </row>
    <row r="23" spans="1:9" x14ac:dyDescent="0.25">
      <c r="A23" s="2"/>
      <c r="B23" s="96" t="s">
        <v>208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209</v>
      </c>
      <c r="C24" s="90"/>
      <c r="D24" s="91"/>
      <c r="E24" s="18">
        <f>'Fane 13. Klima'!G10</f>
        <v>736747</v>
      </c>
      <c r="F24" s="19" t="s">
        <v>4</v>
      </c>
      <c r="G24" s="18">
        <f>E24</f>
        <v>736747</v>
      </c>
      <c r="H24" s="19" t="s">
        <v>4</v>
      </c>
      <c r="I24" s="2"/>
    </row>
    <row r="25" spans="1:9" x14ac:dyDescent="0.25">
      <c r="A25" s="2"/>
      <c r="B25" s="96" t="s">
        <v>17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9" t="s">
        <v>55</v>
      </c>
      <c r="C26" s="90"/>
      <c r="D26" s="91"/>
      <c r="E26" s="18">
        <f>'Fane 7. Hist. over el. underdæk'!G13</f>
        <v>0</v>
      </c>
      <c r="F26" s="19" t="s">
        <v>4</v>
      </c>
      <c r="G26" s="18">
        <f>E26</f>
        <v>0</v>
      </c>
      <c r="H26" s="19" t="s">
        <v>4</v>
      </c>
      <c r="I26" s="2"/>
    </row>
    <row r="27" spans="1:9" x14ac:dyDescent="0.25">
      <c r="A27" s="2"/>
      <c r="B27" s="96" t="s">
        <v>98</v>
      </c>
      <c r="C27" s="97"/>
      <c r="D27" s="97"/>
      <c r="E27" s="97"/>
      <c r="F27" s="97"/>
      <c r="G27" s="97"/>
      <c r="H27" s="98"/>
      <c r="I27" s="2"/>
    </row>
    <row r="28" spans="1:9" x14ac:dyDescent="0.25">
      <c r="A28" s="2"/>
      <c r="B28" s="83" t="s">
        <v>105</v>
      </c>
      <c r="C28" s="84"/>
      <c r="D28" s="85"/>
      <c r="E28" s="12">
        <f>'Fane 9. Korrektion af PL2016'!G11</f>
        <v>-2294469</v>
      </c>
      <c r="F28" s="9" t="s">
        <v>4</v>
      </c>
      <c r="G28" s="20"/>
      <c r="H28" s="11"/>
      <c r="I28" s="2"/>
    </row>
    <row r="29" spans="1:9" x14ac:dyDescent="0.25">
      <c r="A29" s="2"/>
      <c r="B29" s="83" t="s">
        <v>99</v>
      </c>
      <c r="C29" s="84"/>
      <c r="D29" s="85"/>
      <c r="E29" s="12">
        <f>'Fane 9. Korrektion af PL2016'!G17</f>
        <v>2963767</v>
      </c>
      <c r="F29" s="9" t="s">
        <v>4</v>
      </c>
      <c r="G29" s="15"/>
      <c r="H29" s="14"/>
      <c r="I29" s="2"/>
    </row>
    <row r="30" spans="1:9" ht="30" customHeight="1" x14ac:dyDescent="0.25">
      <c r="A30" s="2"/>
      <c r="B30" s="83" t="s">
        <v>100</v>
      </c>
      <c r="C30" s="84"/>
      <c r="D30" s="85"/>
      <c r="E30" s="12">
        <f>'Fane 9. Korrektion af PL2016'!G23</f>
        <v>-36270</v>
      </c>
      <c r="F30" s="9" t="s">
        <v>4</v>
      </c>
      <c r="G30" s="13"/>
      <c r="H30" s="14"/>
      <c r="I30" s="2"/>
    </row>
    <row r="31" spans="1:9" ht="30" customHeight="1" x14ac:dyDescent="0.25">
      <c r="A31" s="2"/>
      <c r="B31" s="83" t="s">
        <v>101</v>
      </c>
      <c r="C31" s="84"/>
      <c r="D31" s="85"/>
      <c r="E31" s="12">
        <f>'Fane 9. Korrektion af PL2016'!G29</f>
        <v>0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3" t="s">
        <v>102</v>
      </c>
      <c r="C32" s="84"/>
      <c r="D32" s="85"/>
      <c r="E32" s="12">
        <f>'Fane 9. Korrektion af PL2016'!G35</f>
        <v>376849.47173333319</v>
      </c>
      <c r="F32" s="9" t="s">
        <v>4</v>
      </c>
      <c r="G32" s="15"/>
      <c r="H32" s="14"/>
      <c r="I32" s="2"/>
    </row>
    <row r="33" spans="1:9" x14ac:dyDescent="0.25">
      <c r="A33" s="2"/>
      <c r="B33" s="89" t="s">
        <v>103</v>
      </c>
      <c r="C33" s="90"/>
      <c r="D33" s="91"/>
      <c r="E33" s="18">
        <f>SUM(E28:E32)</f>
        <v>1009877.4717333332</v>
      </c>
      <c r="F33" s="19" t="s">
        <v>4</v>
      </c>
      <c r="G33" s="18">
        <f>E33</f>
        <v>1009877.4717333332</v>
      </c>
      <c r="H33" s="19" t="s">
        <v>4</v>
      </c>
      <c r="I33" s="2"/>
    </row>
    <row r="34" spans="1:9" x14ac:dyDescent="0.25">
      <c r="A34" s="2"/>
      <c r="B34" s="96" t="s">
        <v>18</v>
      </c>
      <c r="C34" s="97"/>
      <c r="D34" s="97"/>
      <c r="E34" s="97"/>
      <c r="F34" s="97"/>
      <c r="G34" s="97"/>
      <c r="H34" s="98"/>
      <c r="I34" s="2"/>
    </row>
    <row r="35" spans="1:9" x14ac:dyDescent="0.25">
      <c r="A35" s="2"/>
      <c r="B35" s="89" t="s">
        <v>104</v>
      </c>
      <c r="C35" s="90"/>
      <c r="D35" s="91"/>
      <c r="E35" s="18">
        <f>'Fane 10. Kontrol af PL2016'!G36</f>
        <v>4583441.5101563409</v>
      </c>
      <c r="F35" s="19" t="s">
        <v>4</v>
      </c>
      <c r="G35" s="18">
        <f>E35</f>
        <v>4583441.5101563409</v>
      </c>
      <c r="H35" s="19" t="s">
        <v>4</v>
      </c>
      <c r="I35" s="2"/>
    </row>
    <row r="36" spans="1:9" x14ac:dyDescent="0.25">
      <c r="A36" s="2"/>
      <c r="B36" s="96" t="s">
        <v>62</v>
      </c>
      <c r="C36" s="97"/>
      <c r="D36" s="97"/>
      <c r="E36" s="97"/>
      <c r="F36" s="98"/>
      <c r="G36" s="21">
        <f>G22+G24+G26+G33+G35</f>
        <v>51896277.725750528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11:D11"/>
    <mergeCell ref="B33:D33"/>
    <mergeCell ref="B30:D30"/>
    <mergeCell ref="B36:F36"/>
    <mergeCell ref="B19:D19"/>
    <mergeCell ref="B13:D13"/>
    <mergeCell ref="B14:D14"/>
    <mergeCell ref="B16:D16"/>
    <mergeCell ref="B17:D17"/>
    <mergeCell ref="B15:D15"/>
    <mergeCell ref="B23:H23"/>
    <mergeCell ref="B24:D24"/>
    <mergeCell ref="B3:H4"/>
    <mergeCell ref="B9:D9"/>
    <mergeCell ref="B20:D20"/>
    <mergeCell ref="B35:D35"/>
    <mergeCell ref="B21:D21"/>
    <mergeCell ref="B10:D10"/>
    <mergeCell ref="B22:D22"/>
    <mergeCell ref="B26:D26"/>
    <mergeCell ref="B29:D29"/>
    <mergeCell ref="B31:D31"/>
    <mergeCell ref="B32:D32"/>
    <mergeCell ref="B34:H34"/>
    <mergeCell ref="B27:H27"/>
    <mergeCell ref="B25:H25"/>
    <mergeCell ref="B28:D28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3"/>
  <sheetViews>
    <sheetView showGridLines="0" view="pageLayout" zoomScaleNormal="100" workbookViewId="0">
      <selection activeCell="E13" sqref="E13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45566211.743860856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2554360.6327212648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797408.70551756502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731191.67369312048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825993.06694042881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196</v>
      </c>
      <c r="C14" s="94"/>
      <c r="D14" s="95"/>
      <c r="E14" s="18">
        <f>$E$9+$E$11-$E$12-$E$13</f>
        <v>44806435.708744876</v>
      </c>
      <c r="F14" s="19" t="s">
        <v>4</v>
      </c>
      <c r="G14" s="18">
        <f>E14</f>
        <v>44806435.708744876</v>
      </c>
      <c r="H14" s="19" t="s">
        <v>4</v>
      </c>
      <c r="I14" s="2"/>
    </row>
    <row r="15" spans="1:9" s="130" customFormat="1" x14ac:dyDescent="0.25">
      <c r="A15" s="129"/>
      <c r="B15" s="96" t="s">
        <v>208</v>
      </c>
      <c r="C15" s="97"/>
      <c r="D15" s="97"/>
      <c r="E15" s="97"/>
      <c r="F15" s="97"/>
      <c r="G15" s="97"/>
      <c r="H15" s="98"/>
      <c r="I15" s="129"/>
    </row>
    <row r="16" spans="1:9" s="130" customFormat="1" ht="15" customHeight="1" x14ac:dyDescent="0.25">
      <c r="A16" s="129"/>
      <c r="B16" s="89" t="s">
        <v>209</v>
      </c>
      <c r="C16" s="90"/>
      <c r="D16" s="91"/>
      <c r="E16" s="131">
        <f>'Fane 2.1. Økonomisk ramme 2018'!G24</f>
        <v>736747</v>
      </c>
      <c r="F16" s="132" t="s">
        <v>4</v>
      </c>
      <c r="G16" s="131">
        <f>E16</f>
        <v>736747</v>
      </c>
      <c r="H16" s="132" t="s">
        <v>4</v>
      </c>
      <c r="I16" s="129"/>
    </row>
    <row r="17" spans="1:9" x14ac:dyDescent="0.25">
      <c r="A17" s="2"/>
      <c r="B17" s="96" t="s">
        <v>17</v>
      </c>
      <c r="C17" s="97"/>
      <c r="D17" s="97"/>
      <c r="E17" s="97"/>
      <c r="F17" s="97"/>
      <c r="G17" s="97"/>
      <c r="H17" s="98"/>
      <c r="I17" s="2"/>
    </row>
    <row r="18" spans="1:9" ht="15" customHeight="1" x14ac:dyDescent="0.25">
      <c r="A18" s="2"/>
      <c r="B18" s="89" t="s">
        <v>55</v>
      </c>
      <c r="C18" s="90"/>
      <c r="D18" s="91"/>
      <c r="E18" s="18">
        <f>IF('Fane 7. Hist. over el. underdæk'!$G$12&gt;1,'Fane 7. Hist. over el. underdæk'!$G$13,0)</f>
        <v>0</v>
      </c>
      <c r="F18" s="19" t="s">
        <v>4</v>
      </c>
      <c r="G18" s="18">
        <f>E18</f>
        <v>0</v>
      </c>
      <c r="H18" s="19" t="s">
        <v>4</v>
      </c>
      <c r="I18" s="2"/>
    </row>
    <row r="19" spans="1:9" x14ac:dyDescent="0.25">
      <c r="A19" s="2"/>
      <c r="B19" s="96" t="s">
        <v>107</v>
      </c>
      <c r="C19" s="97"/>
      <c r="D19" s="97"/>
      <c r="E19" s="97"/>
      <c r="F19" s="98"/>
      <c r="G19" s="21">
        <f>G14+G16+G18</f>
        <v>45543182.708744876</v>
      </c>
      <c r="H19" s="22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</sheetData>
  <sheetProtection password="DFE9" sheet="1" objects="1" scenarios="1"/>
  <mergeCells count="12">
    <mergeCell ref="B19:F19"/>
    <mergeCell ref="B3:H4"/>
    <mergeCell ref="B8:H8"/>
    <mergeCell ref="B9:D9"/>
    <mergeCell ref="B10:D10"/>
    <mergeCell ref="B11:D11"/>
    <mergeCell ref="B12:D12"/>
    <mergeCell ref="B14:D14"/>
    <mergeCell ref="B17:H17"/>
    <mergeCell ref="B18:D18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15057303.087471543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29517808.684877247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6712107.5293440996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51287219.301692888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181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182</v>
      </c>
      <c r="C11" s="106"/>
      <c r="D11" s="106"/>
      <c r="E11" s="56">
        <v>116706.82239999999</v>
      </c>
      <c r="F11" s="23" t="s">
        <v>4</v>
      </c>
      <c r="G11" s="27">
        <v>138438</v>
      </c>
      <c r="H11" s="23" t="s">
        <v>4</v>
      </c>
      <c r="I11" s="2"/>
    </row>
    <row r="12" spans="1:9" x14ac:dyDescent="0.25">
      <c r="A12" s="2"/>
      <c r="B12" s="105" t="s">
        <v>183</v>
      </c>
      <c r="C12" s="106"/>
      <c r="D12" s="106"/>
      <c r="E12" s="56">
        <v>5890595.3530000001</v>
      </c>
      <c r="F12" s="23" t="s">
        <v>4</v>
      </c>
      <c r="G12" s="27">
        <v>1574000</v>
      </c>
      <c r="H12" s="23" t="s">
        <v>4</v>
      </c>
      <c r="I12" s="2"/>
    </row>
    <row r="13" spans="1:9" x14ac:dyDescent="0.25">
      <c r="A13" s="2"/>
      <c r="B13" s="105" t="s">
        <v>184</v>
      </c>
      <c r="C13" s="106"/>
      <c r="D13" s="106"/>
      <c r="E13" s="56">
        <v>32399.4126</v>
      </c>
      <c r="F13" s="23" t="s">
        <v>4</v>
      </c>
      <c r="G13" s="27">
        <v>40646</v>
      </c>
      <c r="H13" s="23" t="s">
        <v>4</v>
      </c>
      <c r="I13" s="2"/>
    </row>
    <row r="14" spans="1:9" x14ac:dyDescent="0.25">
      <c r="A14" s="2"/>
      <c r="B14" s="105" t="s">
        <v>185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186</v>
      </c>
      <c r="C15" s="106"/>
      <c r="D15" s="106"/>
      <c r="E15" s="56">
        <v>473852.49199999997</v>
      </c>
      <c r="F15" s="23" t="s">
        <v>4</v>
      </c>
      <c r="G15" s="27">
        <v>316359</v>
      </c>
      <c r="H15" s="23" t="s">
        <v>4</v>
      </c>
      <c r="I15" s="2"/>
    </row>
    <row r="16" spans="1:9" x14ac:dyDescent="0.25">
      <c r="A16" s="2"/>
      <c r="B16" s="105" t="s">
        <v>187</v>
      </c>
      <c r="C16" s="106"/>
      <c r="D16" s="106"/>
      <c r="E16" s="56">
        <v>114378.70299999999</v>
      </c>
      <c r="F16" s="23" t="s">
        <v>4</v>
      </c>
      <c r="G16" s="27">
        <v>96771</v>
      </c>
      <c r="H16" s="23" t="s">
        <v>4</v>
      </c>
      <c r="I16" s="2"/>
    </row>
    <row r="17" spans="1:9" x14ac:dyDescent="0.25">
      <c r="A17" s="2"/>
      <c r="B17" s="105" t="s">
        <v>188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7" t="s">
        <v>189</v>
      </c>
      <c r="C18" s="108"/>
      <c r="D18" s="108"/>
      <c r="E18" s="56">
        <v>0</v>
      </c>
      <c r="F18" s="23" t="s">
        <v>4</v>
      </c>
      <c r="G18" s="27">
        <v>332304.15000000002</v>
      </c>
      <c r="H18" s="23" t="s">
        <v>4</v>
      </c>
      <c r="I18" s="2"/>
    </row>
    <row r="19" spans="1:9" x14ac:dyDescent="0.25">
      <c r="A19" s="2"/>
      <c r="B19" s="96" t="s">
        <v>134</v>
      </c>
      <c r="C19" s="97"/>
      <c r="D19" s="97"/>
      <c r="E19" s="97"/>
      <c r="F19" s="98"/>
      <c r="G19" s="21">
        <f>SUM(G10:G18)-SUM(E10:E18)</f>
        <v>-4129414.6329999999</v>
      </c>
      <c r="H19" s="22" t="s">
        <v>4</v>
      </c>
      <c r="I19" s="2"/>
    </row>
    <row r="20" spans="1:9" x14ac:dyDescent="0.25">
      <c r="A20" s="2"/>
      <c r="B20" s="96" t="s">
        <v>135</v>
      </c>
      <c r="C20" s="97"/>
      <c r="D20" s="97"/>
      <c r="E20" s="97"/>
      <c r="F20" s="98"/>
      <c r="G20" s="21">
        <f>G19*(1+'Fane 2.1. Økonomisk ramme 2018'!E18/100)</f>
        <v>-4201679.3890775004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44575111.772348791</v>
      </c>
      <c r="H9" s="23" t="s">
        <v>4</v>
      </c>
      <c r="I9" s="2"/>
    </row>
    <row r="10" spans="1:9" x14ac:dyDescent="0.25">
      <c r="A10" s="2"/>
      <c r="B10" s="48" t="s">
        <v>205</v>
      </c>
      <c r="C10" s="49"/>
      <c r="D10" s="49"/>
      <c r="E10" s="49"/>
      <c r="F10" s="50"/>
      <c r="G10" s="12">
        <v>-758061.73583997495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1.6707392891894879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744879.87205443566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>
      <selection activeCell="G16" sqref="G16"/>
    </sheetView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9" t="s">
        <v>47</v>
      </c>
      <c r="C9" s="110"/>
      <c r="D9" s="110"/>
      <c r="E9" s="110"/>
      <c r="F9" s="111"/>
      <c r="G9" s="12">
        <f>'Fane 3. Korrigeret grundlag'!G9+(SUM('Fane 2.1. Økonomisk ramme 2018'!E13,'Fane 2.1. Økonomisk ramme 2018'!E16))</f>
        <v>15057303.087471543</v>
      </c>
      <c r="H9" s="23" t="s">
        <v>4</v>
      </c>
      <c r="I9" s="2"/>
    </row>
    <row r="10" spans="1:9" x14ac:dyDescent="0.25">
      <c r="A10" s="2"/>
      <c r="B10" s="52" t="s">
        <v>204</v>
      </c>
      <c r="C10" s="53"/>
      <c r="D10" s="53"/>
      <c r="E10" s="53"/>
      <c r="F10" s="54"/>
      <c r="G10" s="12">
        <v>-301347.84000000003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300283.6892860459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29517808.684877247</v>
      </c>
      <c r="H13" s="23" t="s">
        <v>4</v>
      </c>
      <c r="I13" s="2"/>
    </row>
    <row r="14" spans="1:9" x14ac:dyDescent="0.25">
      <c r="A14" s="2"/>
      <c r="B14" s="48" t="s">
        <v>206</v>
      </c>
      <c r="C14" s="49"/>
      <c r="D14" s="49"/>
      <c r="E14" s="49"/>
      <c r="F14" s="50"/>
      <c r="G14" s="12">
        <v>-265112.80249999999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526833.73966764368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827117.42895368952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-5361625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-5361624.666666667</v>
      </c>
      <c r="H10" s="23" t="s">
        <v>4</v>
      </c>
      <c r="I10" s="2"/>
    </row>
    <row r="11" spans="1:9" x14ac:dyDescent="0.25">
      <c r="A11" s="2"/>
      <c r="B11" s="112" t="s">
        <v>45</v>
      </c>
      <c r="C11" s="113"/>
      <c r="D11" s="113"/>
      <c r="E11" s="113"/>
      <c r="F11" s="114"/>
      <c r="G11" s="57">
        <f>G9-G10</f>
        <v>-0.33333333302289248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5" t="s">
        <v>3</v>
      </c>
      <c r="G9" s="115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556156.55000000005</v>
      </c>
      <c r="F10" s="12">
        <f>E10/D10</f>
        <v>111231.31000000001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20</v>
      </c>
      <c r="E11" s="27">
        <v>15056</v>
      </c>
      <c r="F11" s="12">
        <f t="shared" ref="F11:F53" si="0">E11/D11</f>
        <v>752.8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10</v>
      </c>
      <c r="E12" s="27">
        <v>158948.38</v>
      </c>
      <c r="F12" s="12">
        <f t="shared" si="0"/>
        <v>15894.838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3057625.5</v>
      </c>
      <c r="F13" s="12">
        <f t="shared" si="0"/>
        <v>40768.339999999997</v>
      </c>
      <c r="G13" s="23" t="s">
        <v>4</v>
      </c>
      <c r="H13" s="2"/>
    </row>
    <row r="14" spans="1:8" ht="26.25" x14ac:dyDescent="0.25">
      <c r="A14" s="2"/>
      <c r="B14" s="47" t="s">
        <v>150</v>
      </c>
      <c r="C14" s="41">
        <v>2016</v>
      </c>
      <c r="D14" s="28">
        <v>20</v>
      </c>
      <c r="E14" s="27">
        <v>290898.28999999998</v>
      </c>
      <c r="F14" s="12">
        <f t="shared" si="0"/>
        <v>14544.914499999999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10</v>
      </c>
      <c r="E15" s="27">
        <v>92926.85</v>
      </c>
      <c r="F15" s="12">
        <f t="shared" si="0"/>
        <v>9292.6850000000013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5</v>
      </c>
      <c r="E16" s="27">
        <v>11995</v>
      </c>
      <c r="F16" s="12">
        <f t="shared" si="0"/>
        <v>2399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</v>
      </c>
      <c r="E17" s="27">
        <v>459232.8</v>
      </c>
      <c r="F17" s="12">
        <f t="shared" si="0"/>
        <v>91846.56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75</v>
      </c>
      <c r="E18" s="27">
        <v>65549</v>
      </c>
      <c r="F18" s="12">
        <f t="shared" si="0"/>
        <v>873.98666666666668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75</v>
      </c>
      <c r="E19" s="27">
        <v>3147</v>
      </c>
      <c r="F19" s="12">
        <f t="shared" si="0"/>
        <v>41.96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50</v>
      </c>
      <c r="E20" s="27">
        <v>136728.70000000001</v>
      </c>
      <c r="F20" s="12">
        <f t="shared" si="0"/>
        <v>2734.5740000000001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75</v>
      </c>
      <c r="E21" s="27">
        <v>3030784.12</v>
      </c>
      <c r="F21" s="12">
        <f t="shared" si="0"/>
        <v>40410.454933333334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75</v>
      </c>
      <c r="E22" s="27">
        <v>6620593.6200000001</v>
      </c>
      <c r="F22" s="12">
        <f t="shared" si="0"/>
        <v>88274.581600000005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50</v>
      </c>
      <c r="E23" s="27">
        <v>399808.07</v>
      </c>
      <c r="F23" s="12">
        <f t="shared" si="0"/>
        <v>7996.1614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20</v>
      </c>
      <c r="E24" s="27">
        <v>809279.84</v>
      </c>
      <c r="F24" s="12">
        <f t="shared" si="0"/>
        <v>40463.991999999998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10</v>
      </c>
      <c r="E25" s="27">
        <v>61774.9</v>
      </c>
      <c r="F25" s="12">
        <f t="shared" si="0"/>
        <v>6177.49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60</v>
      </c>
      <c r="E26" s="27">
        <v>122069.61</v>
      </c>
      <c r="F26" s="12">
        <f t="shared" si="0"/>
        <v>2034.4935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20</v>
      </c>
      <c r="E27" s="27">
        <v>1652748.11</v>
      </c>
      <c r="F27" s="12">
        <f t="shared" si="0"/>
        <v>82637.405500000008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10</v>
      </c>
      <c r="E28" s="27">
        <v>186766.51</v>
      </c>
      <c r="F28" s="12">
        <f t="shared" si="0"/>
        <v>18676.651000000002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75</v>
      </c>
      <c r="E29" s="27">
        <v>998274.98</v>
      </c>
      <c r="F29" s="12">
        <f t="shared" si="0"/>
        <v>13310.333066666666</v>
      </c>
      <c r="G29" s="23" t="s">
        <v>4</v>
      </c>
      <c r="H29" s="2"/>
    </row>
    <row r="30" spans="1:8" ht="26.25" x14ac:dyDescent="0.25">
      <c r="A30" s="2"/>
      <c r="B30" s="47" t="s">
        <v>166</v>
      </c>
      <c r="C30" s="41">
        <v>2016</v>
      </c>
      <c r="D30" s="28">
        <v>30</v>
      </c>
      <c r="E30" s="27">
        <v>690793.13</v>
      </c>
      <c r="F30" s="12">
        <f t="shared" si="0"/>
        <v>23026.437666666669</v>
      </c>
      <c r="G30" s="23" t="s">
        <v>4</v>
      </c>
      <c r="H30" s="2"/>
    </row>
    <row r="31" spans="1:8" x14ac:dyDescent="0.25">
      <c r="A31" s="2"/>
      <c r="B31" s="47" t="s">
        <v>167</v>
      </c>
      <c r="C31" s="41">
        <v>2016</v>
      </c>
      <c r="D31" s="28">
        <v>10</v>
      </c>
      <c r="E31" s="27">
        <v>372423.29</v>
      </c>
      <c r="F31" s="12">
        <f t="shared" si="0"/>
        <v>37242.328999999998</v>
      </c>
      <c r="G31" s="23" t="s">
        <v>4</v>
      </c>
      <c r="H31" s="2"/>
    </row>
    <row r="32" spans="1:8" x14ac:dyDescent="0.25">
      <c r="A32" s="2"/>
      <c r="B32" s="47" t="s">
        <v>168</v>
      </c>
      <c r="C32" s="41">
        <v>2016</v>
      </c>
      <c r="D32" s="28">
        <v>25</v>
      </c>
      <c r="E32" s="27">
        <v>48219.23</v>
      </c>
      <c r="F32" s="12">
        <f t="shared" si="0"/>
        <v>1928.7692000000002</v>
      </c>
      <c r="G32" s="23" t="s">
        <v>4</v>
      </c>
      <c r="H32" s="2"/>
    </row>
    <row r="33" spans="1:8" x14ac:dyDescent="0.25">
      <c r="A33" s="2"/>
      <c r="B33" s="47" t="s">
        <v>169</v>
      </c>
      <c r="C33" s="41">
        <v>2016</v>
      </c>
      <c r="D33" s="28">
        <v>25</v>
      </c>
      <c r="E33" s="27">
        <v>2882432.07</v>
      </c>
      <c r="F33" s="12">
        <f t="shared" si="0"/>
        <v>115297.28279999999</v>
      </c>
      <c r="G33" s="23" t="s">
        <v>4</v>
      </c>
      <c r="H33" s="2"/>
    </row>
    <row r="34" spans="1:8" x14ac:dyDescent="0.25">
      <c r="A34" s="2"/>
      <c r="B34" s="47" t="s">
        <v>170</v>
      </c>
      <c r="C34" s="41">
        <v>2016</v>
      </c>
      <c r="D34" s="28">
        <v>20</v>
      </c>
      <c r="E34" s="27">
        <v>48218.66</v>
      </c>
      <c r="F34" s="12">
        <f t="shared" si="0"/>
        <v>2410.933</v>
      </c>
      <c r="G34" s="23" t="s">
        <v>4</v>
      </c>
      <c r="H34" s="2"/>
    </row>
    <row r="35" spans="1:8" x14ac:dyDescent="0.25">
      <c r="A35" s="2"/>
      <c r="B35" s="47" t="s">
        <v>171</v>
      </c>
      <c r="C35" s="41">
        <v>2016</v>
      </c>
      <c r="D35" s="28">
        <v>60</v>
      </c>
      <c r="E35" s="27">
        <v>468127.04</v>
      </c>
      <c r="F35" s="12">
        <f t="shared" si="0"/>
        <v>7802.1173333333327</v>
      </c>
      <c r="G35" s="23" t="s">
        <v>4</v>
      </c>
      <c r="H35" s="2"/>
    </row>
    <row r="36" spans="1:8" x14ac:dyDescent="0.25">
      <c r="A36" s="2"/>
      <c r="B36" s="47" t="s">
        <v>147</v>
      </c>
      <c r="C36" s="41">
        <v>2016</v>
      </c>
      <c r="D36" s="28">
        <v>20</v>
      </c>
      <c r="E36" s="27">
        <v>391357.25</v>
      </c>
      <c r="F36" s="12">
        <f t="shared" si="0"/>
        <v>19567.862499999999</v>
      </c>
      <c r="G36" s="23" t="s">
        <v>4</v>
      </c>
      <c r="H36" s="2"/>
    </row>
    <row r="37" spans="1:8" x14ac:dyDescent="0.25">
      <c r="A37" s="2"/>
      <c r="B37" s="47" t="s">
        <v>148</v>
      </c>
      <c r="C37" s="41">
        <v>2016</v>
      </c>
      <c r="D37" s="28">
        <v>10</v>
      </c>
      <c r="E37" s="27">
        <v>103688.4</v>
      </c>
      <c r="F37" s="12">
        <f t="shared" si="0"/>
        <v>10368.84</v>
      </c>
      <c r="G37" s="23" t="s">
        <v>4</v>
      </c>
      <c r="H37" s="2"/>
    </row>
    <row r="38" spans="1:8" x14ac:dyDescent="0.25">
      <c r="A38" s="2"/>
      <c r="B38" s="47" t="s">
        <v>149</v>
      </c>
      <c r="C38" s="41">
        <v>2016</v>
      </c>
      <c r="D38" s="28">
        <v>30</v>
      </c>
      <c r="E38" s="27">
        <v>703324.03</v>
      </c>
      <c r="F38" s="12">
        <f t="shared" si="0"/>
        <v>23444.134333333335</v>
      </c>
      <c r="G38" s="23" t="s">
        <v>4</v>
      </c>
      <c r="H38" s="2"/>
    </row>
    <row r="39" spans="1:8" x14ac:dyDescent="0.25">
      <c r="A39" s="2"/>
      <c r="B39" s="47" t="s">
        <v>172</v>
      </c>
      <c r="C39" s="41">
        <v>2016</v>
      </c>
      <c r="D39" s="28">
        <v>20</v>
      </c>
      <c r="E39" s="27">
        <v>319274.90000000002</v>
      </c>
      <c r="F39" s="12">
        <f t="shared" si="0"/>
        <v>15963.745000000001</v>
      </c>
      <c r="G39" s="23" t="s">
        <v>4</v>
      </c>
      <c r="H39" s="2"/>
    </row>
    <row r="40" spans="1:8" x14ac:dyDescent="0.25">
      <c r="A40" s="2"/>
      <c r="B40" s="47" t="s">
        <v>173</v>
      </c>
      <c r="C40" s="41">
        <v>2016</v>
      </c>
      <c r="D40" s="28">
        <v>10</v>
      </c>
      <c r="E40" s="27">
        <v>144522.21</v>
      </c>
      <c r="F40" s="12">
        <f t="shared" si="0"/>
        <v>14452.221</v>
      </c>
      <c r="G40" s="23" t="s">
        <v>4</v>
      </c>
      <c r="H40" s="2"/>
    </row>
    <row r="41" spans="1:8" x14ac:dyDescent="0.25">
      <c r="A41" s="2"/>
      <c r="B41" s="47" t="s">
        <v>157</v>
      </c>
      <c r="C41" s="41">
        <v>2016</v>
      </c>
      <c r="D41" s="28">
        <v>75</v>
      </c>
      <c r="E41" s="27">
        <v>612702.21</v>
      </c>
      <c r="F41" s="12">
        <f t="shared" si="0"/>
        <v>8169.3627999999999</v>
      </c>
      <c r="G41" s="23" t="s">
        <v>4</v>
      </c>
      <c r="H41" s="2"/>
    </row>
    <row r="42" spans="1:8" x14ac:dyDescent="0.25">
      <c r="A42" s="2"/>
      <c r="B42" s="47" t="s">
        <v>174</v>
      </c>
      <c r="C42" s="41">
        <v>2016</v>
      </c>
      <c r="D42" s="28">
        <v>75</v>
      </c>
      <c r="E42" s="27">
        <v>913063.01</v>
      </c>
      <c r="F42" s="12">
        <f t="shared" si="0"/>
        <v>12174.173466666667</v>
      </c>
      <c r="G42" s="23" t="s">
        <v>4</v>
      </c>
      <c r="H42" s="2"/>
    </row>
    <row r="43" spans="1:8" x14ac:dyDescent="0.25">
      <c r="A43" s="2"/>
      <c r="B43" s="47" t="s">
        <v>160</v>
      </c>
      <c r="C43" s="41">
        <v>2016</v>
      </c>
      <c r="D43" s="28">
        <v>20</v>
      </c>
      <c r="E43" s="27">
        <v>557589.77</v>
      </c>
      <c r="F43" s="12">
        <f t="shared" si="0"/>
        <v>27879.488499999999</v>
      </c>
      <c r="G43" s="23" t="s">
        <v>4</v>
      </c>
      <c r="H43" s="2"/>
    </row>
    <row r="44" spans="1:8" x14ac:dyDescent="0.25">
      <c r="A44" s="2"/>
      <c r="B44" s="47" t="s">
        <v>161</v>
      </c>
      <c r="C44" s="41">
        <v>2016</v>
      </c>
      <c r="D44" s="28">
        <v>10</v>
      </c>
      <c r="E44" s="27">
        <v>336461.65</v>
      </c>
      <c r="F44" s="12">
        <f t="shared" si="0"/>
        <v>33646.165000000001</v>
      </c>
      <c r="G44" s="23" t="s">
        <v>4</v>
      </c>
      <c r="H44" s="2"/>
    </row>
    <row r="45" spans="1:8" ht="26.25" x14ac:dyDescent="0.25">
      <c r="A45" s="2"/>
      <c r="B45" s="47" t="s">
        <v>175</v>
      </c>
      <c r="C45" s="41">
        <v>2016</v>
      </c>
      <c r="D45" s="28">
        <v>50</v>
      </c>
      <c r="E45" s="27">
        <v>27910</v>
      </c>
      <c r="F45" s="12">
        <f t="shared" si="0"/>
        <v>558.20000000000005</v>
      </c>
      <c r="G45" s="23" t="s">
        <v>4</v>
      </c>
      <c r="H45" s="2"/>
    </row>
    <row r="46" spans="1:8" ht="26.25" x14ac:dyDescent="0.25">
      <c r="A46" s="2"/>
      <c r="B46" s="47" t="s">
        <v>176</v>
      </c>
      <c r="C46" s="41">
        <v>2016</v>
      </c>
      <c r="D46" s="28">
        <v>20</v>
      </c>
      <c r="E46" s="27">
        <v>87842.6</v>
      </c>
      <c r="F46" s="12">
        <f t="shared" si="0"/>
        <v>4392.13</v>
      </c>
      <c r="G46" s="23" t="s">
        <v>4</v>
      </c>
      <c r="H46" s="2"/>
    </row>
    <row r="47" spans="1:8" x14ac:dyDescent="0.25">
      <c r="A47" s="2"/>
      <c r="B47" s="47" t="s">
        <v>163</v>
      </c>
      <c r="C47" s="41">
        <v>2016</v>
      </c>
      <c r="D47" s="28">
        <v>20</v>
      </c>
      <c r="E47" s="27">
        <v>100889.13</v>
      </c>
      <c r="F47" s="12">
        <f t="shared" si="0"/>
        <v>5044.4565000000002</v>
      </c>
      <c r="G47" s="23" t="s">
        <v>4</v>
      </c>
      <c r="H47" s="2"/>
    </row>
    <row r="48" spans="1:8" x14ac:dyDescent="0.25">
      <c r="A48" s="2"/>
      <c r="B48" s="47" t="s">
        <v>164</v>
      </c>
      <c r="C48" s="41">
        <v>2016</v>
      </c>
      <c r="D48" s="28">
        <v>10</v>
      </c>
      <c r="E48" s="27">
        <v>36130.550000000003</v>
      </c>
      <c r="F48" s="12">
        <f t="shared" si="0"/>
        <v>3613.0550000000003</v>
      </c>
      <c r="G48" s="23" t="s">
        <v>4</v>
      </c>
      <c r="H48" s="2"/>
    </row>
    <row r="49" spans="1:8" ht="26.25" x14ac:dyDescent="0.25">
      <c r="A49" s="2"/>
      <c r="B49" s="47" t="s">
        <v>177</v>
      </c>
      <c r="C49" s="41">
        <v>2016</v>
      </c>
      <c r="D49" s="28">
        <v>20</v>
      </c>
      <c r="E49" s="27">
        <v>142740.1</v>
      </c>
      <c r="F49" s="12">
        <f t="shared" si="0"/>
        <v>7137.0050000000001</v>
      </c>
      <c r="G49" s="23" t="s">
        <v>4</v>
      </c>
      <c r="H49" s="2"/>
    </row>
    <row r="50" spans="1:8" ht="26.25" x14ac:dyDescent="0.25">
      <c r="A50" s="2"/>
      <c r="B50" s="47" t="s">
        <v>178</v>
      </c>
      <c r="C50" s="41">
        <v>2016</v>
      </c>
      <c r="D50" s="28">
        <v>10</v>
      </c>
      <c r="E50" s="27">
        <v>76397.75</v>
      </c>
      <c r="F50" s="12">
        <f t="shared" si="0"/>
        <v>7639.7749999999996</v>
      </c>
      <c r="G50" s="23" t="s">
        <v>4</v>
      </c>
      <c r="H50" s="2"/>
    </row>
    <row r="51" spans="1:8" x14ac:dyDescent="0.25">
      <c r="A51" s="2"/>
      <c r="B51" s="47" t="s">
        <v>165</v>
      </c>
      <c r="C51" s="41">
        <v>2016</v>
      </c>
      <c r="D51" s="28">
        <v>75</v>
      </c>
      <c r="E51" s="27">
        <v>29383.14</v>
      </c>
      <c r="F51" s="12">
        <f t="shared" si="0"/>
        <v>391.77519999999998</v>
      </c>
      <c r="G51" s="23" t="s">
        <v>4</v>
      </c>
      <c r="H51" s="2"/>
    </row>
    <row r="52" spans="1:8" x14ac:dyDescent="0.25">
      <c r="A52" s="2"/>
      <c r="B52" s="47" t="s">
        <v>179</v>
      </c>
      <c r="C52" s="41">
        <v>2016</v>
      </c>
      <c r="D52" s="28">
        <v>50</v>
      </c>
      <c r="E52" s="27">
        <v>739653.01</v>
      </c>
      <c r="F52" s="12">
        <f t="shared" si="0"/>
        <v>14793.0602</v>
      </c>
      <c r="G52" s="23" t="s">
        <v>4</v>
      </c>
      <c r="H52" s="2"/>
    </row>
    <row r="53" spans="1:8" ht="26.25" x14ac:dyDescent="0.25">
      <c r="A53" s="2"/>
      <c r="B53" s="47" t="s">
        <v>180</v>
      </c>
      <c r="C53" s="41">
        <v>2016</v>
      </c>
      <c r="D53" s="28">
        <v>50</v>
      </c>
      <c r="E53" s="27">
        <v>7130772.7699999996</v>
      </c>
      <c r="F53" s="12">
        <f t="shared" si="0"/>
        <v>142615.45539999998</v>
      </c>
      <c r="G53" s="23" t="s">
        <v>4</v>
      </c>
      <c r="H53" s="2"/>
    </row>
    <row r="54" spans="1:8" x14ac:dyDescent="0.25">
      <c r="A54" s="2"/>
      <c r="B54" s="96" t="s">
        <v>76</v>
      </c>
      <c r="C54" s="97"/>
      <c r="D54" s="97"/>
      <c r="E54" s="98"/>
      <c r="F54" s="21">
        <f>SUM(F10:F53)</f>
        <v>1129921.3050666666</v>
      </c>
      <c r="G54" s="22" t="s">
        <v>4</v>
      </c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2017-10-12T09:09:38Z</dcterms:modified>
</cp:coreProperties>
</file>