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11700" tabRatio="746"/>
  </bookViews>
  <sheets>
    <sheet name="1. Forside" sheetId="1" r:id="rId1"/>
    <sheet name="Fane 2.1. Økonomisk ramme 2018" sheetId="2" r:id="rId2"/>
    <sheet name="Fane 2.2. Økonomisk ramme 2019" sheetId="15" r:id="rId3"/>
    <sheet name="Fane 3. Korrigeret grundlag" sheetId="7" r:id="rId4"/>
    <sheet name="Fane 4. Ikke-påvirkelige omk." sheetId="19" r:id="rId5"/>
    <sheet name="Fane 5. Individuelt eff.krav" sheetId="8" r:id="rId6"/>
    <sheet name="Fane 6. Generelt eff.krav" sheetId="9" r:id="rId7"/>
    <sheet name="Fane 7. Hist. over el. underdæk" sheetId="10" r:id="rId8"/>
    <sheet name="Fane 8. Gen. inv. i 2016" sheetId="11" r:id="rId9"/>
    <sheet name="Fane 9. Korrektion af PL2016" sheetId="12" r:id="rId10"/>
    <sheet name="Fane 10. Kontrol af PL2016" sheetId="13" r:id="rId11"/>
    <sheet name="Fane 11. Tillæg" sheetId="20" r:id="rId12"/>
    <sheet name="Fane 12. Bortfald" sheetId="21" r:id="rId13"/>
  </sheets>
  <calcPr calcId="145621"/>
</workbook>
</file>

<file path=xl/calcChain.xml><?xml version="1.0" encoding="utf-8"?>
<calcChain xmlns="http://schemas.openxmlformats.org/spreadsheetml/2006/main">
  <c r="E13" i="15" l="1"/>
  <c r="G13" i="9" l="1"/>
  <c r="G9" i="9"/>
  <c r="G9" i="8"/>
  <c r="G13" i="10" l="1"/>
  <c r="G16" i="9" l="1"/>
  <c r="G12" i="9"/>
  <c r="G12" i="8"/>
  <c r="E12" i="2"/>
  <c r="G11" i="10" l="1"/>
  <c r="F18" i="20"/>
  <c r="F19" i="20" s="1"/>
  <c r="E15" i="2" s="1"/>
  <c r="F13" i="11" l="1"/>
  <c r="F12" i="11"/>
  <c r="F11" i="21" l="1"/>
  <c r="F12" i="21" s="1"/>
  <c r="D11" i="21"/>
  <c r="D12" i="21" s="1"/>
  <c r="F11" i="20" l="1"/>
  <c r="F12" i="20" s="1"/>
  <c r="E14" i="2" s="1"/>
  <c r="D11" i="20"/>
  <c r="D12" i="20" s="1"/>
  <c r="E13" i="2" s="1"/>
  <c r="E17" i="2"/>
  <c r="E16" i="2"/>
  <c r="E10" i="2" l="1"/>
  <c r="G18" i="19"/>
  <c r="G19" i="19" s="1"/>
  <c r="E11" i="2" s="1"/>
  <c r="G12" i="7"/>
  <c r="E10" i="15" l="1"/>
  <c r="E9" i="2"/>
  <c r="E15" i="13"/>
  <c r="F11" i="11"/>
  <c r="F14" i="11"/>
  <c r="E19" i="2" l="1"/>
  <c r="E16" i="15"/>
  <c r="G16" i="15" s="1"/>
  <c r="G11" i="9" l="1"/>
  <c r="G30" i="13"/>
  <c r="E35" i="13" l="1"/>
  <c r="G35" i="13" s="1"/>
  <c r="E27" i="13"/>
  <c r="E19" i="13"/>
  <c r="G11" i="12"/>
  <c r="E26" i="2" s="1"/>
  <c r="G29" i="12"/>
  <c r="E29" i="2" s="1"/>
  <c r="G23" i="12"/>
  <c r="E28" i="2" s="1"/>
  <c r="G17" i="12"/>
  <c r="E27" i="2" s="1"/>
  <c r="F10" i="11"/>
  <c r="F15" i="11" s="1"/>
  <c r="E24" i="2"/>
  <c r="G24" i="2" s="1"/>
  <c r="G33" i="12" l="1"/>
  <c r="G35" i="12" s="1"/>
  <c r="E30" i="2" s="1"/>
  <c r="E28" i="13"/>
  <c r="G28" i="13" s="1"/>
  <c r="G36" i="13" s="1"/>
  <c r="E33" i="2" s="1"/>
  <c r="G33" i="2" s="1"/>
  <c r="G17" i="9"/>
  <c r="E21" i="2" s="1"/>
  <c r="E31" i="2" l="1"/>
  <c r="G31" i="2" s="1"/>
  <c r="E20" i="2" l="1"/>
  <c r="E22" i="2" s="1"/>
  <c r="G22" i="2" l="1"/>
  <c r="G34" i="2" l="1"/>
  <c r="E9" i="15"/>
  <c r="E12" i="15" s="1"/>
  <c r="E11" i="15" l="1"/>
  <c r="E14" i="15" s="1"/>
  <c r="G14" i="15" s="1"/>
  <c r="G17" i="15" s="1"/>
</calcChain>
</file>

<file path=xl/sharedStrings.xml><?xml version="1.0" encoding="utf-8"?>
<sst xmlns="http://schemas.openxmlformats.org/spreadsheetml/2006/main" count="341" uniqueCount="177">
  <si>
    <t>Beskrivelse af investeringen</t>
  </si>
  <si>
    <t>Årstal</t>
  </si>
  <si>
    <t>Std. levetid (år)</t>
  </si>
  <si>
    <t>Afskrivning</t>
  </si>
  <si>
    <t>kr.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</si>
  <si>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</si>
  <si>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</si>
  <si>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</si>
  <si>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</si>
  <si>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</si>
  <si>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</si>
  <si>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</si>
  <si>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</si>
  <si>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</si>
  <si>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</si>
  <si>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Individuelt effektiviseringskrav</t>
  </si>
  <si>
    <t>Generelt effektiviseringskrav</t>
  </si>
  <si>
    <t>Historisk over- eller underdækning</t>
  </si>
  <si>
    <t>Korrektion i forhold til tidligere indtægtsramme</t>
  </si>
  <si>
    <t>Tillæg for historiske investeringer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</si>
  <si>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</si>
  <si>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</si>
  <si>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</si>
  <si>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</si>
  <si>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</si>
  <si>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</si>
  <si>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</si>
  <si>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</si>
  <si>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</si>
  <si>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</si>
  <si>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</si>
  <si>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</si>
  <si>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</si>
  <si>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</si>
  <si>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</si>
  <si>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</si>
  <si>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</si>
  <si>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Effektiviseringskrav</t>
  </si>
  <si>
    <t>pct.</t>
  </si>
  <si>
    <t>Generelt effektiviseringskrav på drift</t>
  </si>
  <si>
    <t>Generelt effektiviseringskrav på anlæg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</si>
  <si>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</si>
  <si>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</si>
  <si>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</si>
  <si>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</si>
  <si>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</si>
  <si>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- heraf ikke-påvirkelige omkostninger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</si>
  <si>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</si>
  <si>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</si>
  <si>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</si>
  <si>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</si>
  <si>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Drifts- og anlægsomkostninger inkl. finansielle omkostninger</t>
  </si>
  <si>
    <t>Samlet generelt effektiviseringskrav</t>
  </si>
  <si>
    <t>Generelt effektiviseringskrav på drift og anlæg</t>
  </si>
  <si>
    <t>Tillæg/fradrag for historisk over- eller underdækning til og med 2010</t>
  </si>
  <si>
    <t>Tillæg/fradrag for historisk over- eller underdækning</t>
  </si>
  <si>
    <t>Oversigt over den økonomiske ramme</t>
  </si>
  <si>
    <t>Indtægter fra primære aktiviteter</t>
  </si>
  <si>
    <t>Indtægter fra kubikmetertakster, faste takster, særbidrag, målergebyrer samt andre takster og gebyrer</t>
  </si>
  <si>
    <t>Fane 10</t>
  </si>
  <si>
    <t>Omkostninger i den økonomiske ramme for 2017</t>
  </si>
  <si>
    <t>Prisudvikling</t>
  </si>
  <si>
    <t>Økonomisk ramme for 2018</t>
  </si>
  <si>
    <t>Korrektion af grundlag</t>
  </si>
  <si>
    <t>Bortfald af omkostninger</t>
  </si>
  <si>
    <t>Tillæg</t>
  </si>
  <si>
    <t>Fane 11</t>
  </si>
  <si>
    <t>Fane 12</t>
  </si>
  <si>
    <t>Fane 2.2</t>
  </si>
  <si>
    <t>Samlet økonomisk ramme for 2018</t>
  </si>
  <si>
    <t>Samlet økonomisk ramme for 2019</t>
  </si>
  <si>
    <t>Fane 5: Individuelt effektiviseringskrav</t>
  </si>
  <si>
    <t>Fane 6: Generelt effektiviseringskrav</t>
  </si>
  <si>
    <t>Fane 7: Historisk over- eller underdækning</t>
  </si>
  <si>
    <t>Fane 8: Gennemførte investeringer i 2016</t>
  </si>
  <si>
    <t>Gennemførte investeringer i 2016</t>
  </si>
  <si>
    <t>Faktiske afskrivninger på gennemførte investeringer i 2016</t>
  </si>
  <si>
    <t>Fane 9: Korrektion af budgetterede omkostninger i prisloftet for 2016</t>
  </si>
  <si>
    <t>Selskabets faktiske 1:1 omkostninger mv. i 2016, jf. reguleringsregnskabet</t>
  </si>
  <si>
    <t>Tillæg for budgetterede 1:1 omkostninger mv. i prisloft 2016</t>
  </si>
  <si>
    <t>Selskabets faktiske nettofinansielle poster i 2016, jf. reguleringsregnskabet</t>
  </si>
  <si>
    <t>Tillæg for budgetterede nettofinansielle poster i prisloft 2016</t>
  </si>
  <si>
    <t>Selskabets faktiske omk. til miljø- og servicemål i 2016, jf. reguleringsregnskabet</t>
  </si>
  <si>
    <t>Tillæg for budgetterede omk. til miljø- og servicemål i prisloft 2016</t>
  </si>
  <si>
    <t>Selskabets faktiske omk. til klimatilpasningsprojekter i 2016, jf. reguleringsregnskabet</t>
  </si>
  <si>
    <t>Tillæg for budgetterede omk. til klimatilpasningsprojekter i prisloft 2016</t>
  </si>
  <si>
    <t>Korrektion af tillæg for planlagte investeringer vedr. 2016</t>
  </si>
  <si>
    <t>Selskabets faktiske afskrivninger på gennemførte investeringer i 2016</t>
  </si>
  <si>
    <t>Tillæg for planlagte investeringer i 2016 i prisloft 2016</t>
  </si>
  <si>
    <t>Fane 10: Korrektion for overholdelse af indtægtsrammen i prisloft for 2016</t>
  </si>
  <si>
    <t>Samlet opgørelse vedrørende overholdelse af indtægtsrammen i prisloft for 2016</t>
  </si>
  <si>
    <t>Indtægtsramme i prisloft 2016</t>
  </si>
  <si>
    <t>Ikke anvendt likviditet vedrørende investeringer i 2016</t>
  </si>
  <si>
    <t>Tillæg for gennemførte investeringer i 2010-2014</t>
  </si>
  <si>
    <t>Korrektion af tillæg for planlagte investeringer i 2014</t>
  </si>
  <si>
    <t>Tillæg for planlagte investeringer i 2015 og 2016</t>
  </si>
  <si>
    <t>Korrektion af ikke opkrævet tillæg fra 2014 i prisloft 2016</t>
  </si>
  <si>
    <t>Tillæg/fradrag i den økonomiske ramme for 2018 i alt</t>
  </si>
  <si>
    <t>Korrektion af prisloft 2016</t>
  </si>
  <si>
    <t>Korrektion af faktiske nettofinansielle poster i 2016</t>
  </si>
  <si>
    <t>Korrektion af faktiske driftsomkostninger til miljø- og servicemål i 2016</t>
  </si>
  <si>
    <t>Korrektion af faktiske driftsomkostninger til medfinansiering af klimatilpasningsprojekter i 2016</t>
  </si>
  <si>
    <t>Korrektion af tillæg for planlagte investeringer vedrørende 2016</t>
  </si>
  <si>
    <t>Samlet korrektion af budgetterede omkostninger i 2016</t>
  </si>
  <si>
    <t>Korrektion for overholdelse af indtægtsrammen i prisloft 2016</t>
  </si>
  <si>
    <t>Korrektion af faktiske 1:1 omkostninger i 2016</t>
  </si>
  <si>
    <t>Omkostninger i den økonomiske ramme for 2018</t>
  </si>
  <si>
    <t>Økonomisk ramme for 2019</t>
  </si>
  <si>
    <t>Fane 2.2: Samlet økonomisk ramme for 2019</t>
  </si>
  <si>
    <t>Fane 2.1: Samlet økonomisk ramme for 2018</t>
  </si>
  <si>
    <t>Nyt niveau for driftsomkostninger</t>
  </si>
  <si>
    <t>Nyt niveau for anlægsomkostninger inkl. finansielle omkostninger</t>
  </si>
  <si>
    <t>Fane 4: Korrektion af ikke-påvirkelige omkostninger</t>
  </si>
  <si>
    <t>Korrektion af ikke-påvirkelige omkostninger</t>
  </si>
  <si>
    <t>Beløb i økonomisk ramme for 2017</t>
  </si>
  <si>
    <t>Beskrivelse af ikke-påvirkelige omkostning</t>
  </si>
  <si>
    <t>Beskrivelse af tillæg</t>
  </si>
  <si>
    <t>Bortfald eller nedsættelse</t>
  </si>
  <si>
    <t>Fane 12: Bortfald eller nedsættelse af omkostninger til mål, medfinansiering eller udvidelse</t>
  </si>
  <si>
    <t>Beskrivelse af bortfald eller nedsættelse</t>
  </si>
  <si>
    <t>Heraf beløb indregnet i prislofterne for 2011-2017</t>
  </si>
  <si>
    <t>- korrektion ikke-påvirkelige omkostninger</t>
  </si>
  <si>
    <t>Til økonomisk ramme for 2018 og 2019</t>
  </si>
  <si>
    <t>Prisudvikling i kr.</t>
  </si>
  <si>
    <t>Prisudvikling i pct.</t>
  </si>
  <si>
    <t>år</t>
  </si>
  <si>
    <t>Fane 11: Tillæg</t>
  </si>
  <si>
    <t>Anlægsomkost-ninger</t>
  </si>
  <si>
    <t>Bortfald eller nedsættelse i alt i 2016-niveau</t>
  </si>
  <si>
    <t>Nye tillæg til driftsomkostninger</t>
  </si>
  <si>
    <t>Nye tillæg til anlægsomkostninger</t>
  </si>
  <si>
    <t>Bortfald eller nedsættelse af driftsomkostninger</t>
  </si>
  <si>
    <t>Bortfald eller nedsættelse af anlægsomkostninger</t>
  </si>
  <si>
    <t>Nye tillæg i alt i 2016-niveau</t>
  </si>
  <si>
    <t>Korrektion af ikke-påvirkelige omkostninger i 2016-niveau</t>
  </si>
  <si>
    <t>Korrektion af ikke-påvirkelige omkostninger i 2017-niveau</t>
  </si>
  <si>
    <t>Bemærk desuden, at korrektion af ikke-påvirkelige omkostninger ikke er medtaget i denne opgørelse,</t>
  </si>
  <si>
    <t>men fremgår af fane 4.</t>
  </si>
  <si>
    <t>Ikke-påvirkelige omkostninger (korrektion i henhold til fane 4 er ikke medregnet)</t>
  </si>
  <si>
    <t>Fane 3: Korrigeret grundlag til brug for den økonomiske ramme for 2018 og frem</t>
  </si>
  <si>
    <t>Faktisk beløb i 2016</t>
  </si>
  <si>
    <t>Korrigeret grundlag til brug for den økonomiske ramme for 2018 og frem  (i 2017-niveau)</t>
  </si>
  <si>
    <t>Kontrol af prisloft 2016</t>
  </si>
  <si>
    <t>Korrigeret grundlag (i 2017-niveau)</t>
  </si>
  <si>
    <t>Bortfald eller nedsættelse i alt i 2017-niveau</t>
  </si>
  <si>
    <t>Nye tillæg i alt i 2017-niveau</t>
  </si>
  <si>
    <t>Arbejdsplads</t>
  </si>
  <si>
    <t>Ledningsnet ≤ Ø 200 mm</t>
  </si>
  <si>
    <t>Køretøjer, små lastvogne (&lt; 3.500 kg.)</t>
  </si>
  <si>
    <t>Forafvanding, slam, Mek/EL</t>
  </si>
  <si>
    <t>Indløb med riste, Konstruktioner</t>
  </si>
  <si>
    <t>Tjenestemandspensioner</t>
  </si>
  <si>
    <t>Ejendomsskatter</t>
  </si>
  <si>
    <t>Selskabsskatter</t>
  </si>
  <si>
    <t>Betalinger til Forsyningssekretariatet</t>
  </si>
  <si>
    <t>Afgift til ledningsført vand</t>
  </si>
  <si>
    <t>Spildevandsafgift</t>
  </si>
  <si>
    <t>Køb af ydelser og produkter</t>
  </si>
  <si>
    <t>Vandsamarbejde</t>
  </si>
  <si>
    <t>Nye ikke-påvirkelige omkostninger</t>
  </si>
  <si>
    <t>Omkostninger</t>
  </si>
  <si>
    <t>Nye ikke-påvirkelige omkostninger i alt i 2016-niveau</t>
  </si>
  <si>
    <t>Nye ikke-påvirkelige omkostninger i alt i 2017-niveau</t>
  </si>
  <si>
    <t>Nye påvirkelige tillæg</t>
  </si>
  <si>
    <t>Intet nyt tillæg i år</t>
  </si>
  <si>
    <t>Omkostninger i alt</t>
  </si>
  <si>
    <t>Korrektion af tillæg for 1:1 omkostninger (inkl. revisorerklæringer og ordinært medlemskab af DANVA og Danske Vandværker) i 2016</t>
  </si>
  <si>
    <t>Korrektion af tillæg for 1:1 omkostninger mv. i 2016</t>
  </si>
  <si>
    <t>Korrektion af tillæg for nettofinansielle poster i 2016</t>
  </si>
  <si>
    <t>Korrektion af tillæg for miljø- og servicemål i 2016</t>
  </si>
  <si>
    <t>Korrektion af tillæg til medfinansiering af klimatilpasningsprojekter i 2016</t>
  </si>
  <si>
    <t>Intet bortfald</t>
  </si>
  <si>
    <t>Ingen nye ikke-påvirkelige omkostninger i år</t>
  </si>
  <si>
    <t>Tidligere stillet generelle effektiviseringskrav til driftsomkostninger</t>
  </si>
  <si>
    <t>Tidligere stillet effektiviseringskrav</t>
  </si>
  <si>
    <t>Tidligere stillet generelle effektiviseringskrav til anlægsomkostninger</t>
  </si>
  <si>
    <t>Beskrivelse af ikke-påvirkelig omkostning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</si>
</sst>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 ;_ * \-#,##0.00_ ;_ * &quot;-&quot;??_ ;_ @_ "/>
    <numFmt numFmtId="165" formatCode="0.0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2121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164" fontId="13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6" fillId="0" borderId="0"/>
  </cellStyleXfs>
  <cellXfs count="117">
    <xf numFmtId="0" fontId="0" fillId="0" borderId="0" xfId="0"/>
    <xf numFmtId="3" fontId="8" fillId="11" borderId="11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10" borderId="1" xfId="0" applyNumberFormat="1" applyFont="1" applyFill="1" applyBorder="1" applyAlignment="1" applyProtection="1">
      <alignment wrapText="1"/>
    </xf>
    <xf numFmtId="0" fontId="8" fillId="10" borderId="1" xfId="0" applyFont="1" applyFill="1" applyBorder="1" applyAlignment="1" applyProtection="1">
      <alignment wrapText="1"/>
    </xf>
    <xf numFmtId="0" fontId="8" fillId="10" borderId="4" xfId="0" applyFont="1" applyFill="1" applyBorder="1" applyAlignment="1" applyProtection="1">
      <alignment wrapText="1"/>
    </xf>
    <xf numFmtId="0" fontId="8" fillId="10" borderId="5" xfId="0" applyFont="1" applyFill="1" applyBorder="1" applyAlignment="1" applyProtection="1">
      <alignment wrapText="1"/>
    </xf>
    <xf numFmtId="3" fontId="8" fillId="10" borderId="1" xfId="0" applyNumberFormat="1" applyFont="1" applyFill="1" applyBorder="1" applyProtection="1"/>
    <xf numFmtId="3" fontId="8" fillId="10" borderId="6" xfId="0" applyNumberFormat="1" applyFont="1" applyFill="1" applyBorder="1" applyProtection="1"/>
    <xf numFmtId="0" fontId="8" fillId="10" borderId="7" xfId="0" applyFont="1" applyFill="1" applyBorder="1" applyAlignment="1" applyProtection="1">
      <alignment wrapText="1"/>
    </xf>
    <xf numFmtId="0" fontId="8" fillId="10" borderId="6" xfId="0" applyFont="1" applyFill="1" applyBorder="1" applyProtection="1"/>
    <xf numFmtId="0" fontId="8" fillId="10" borderId="8" xfId="0" applyFont="1" applyFill="1" applyBorder="1" applyProtection="1"/>
    <xf numFmtId="0" fontId="8" fillId="10" borderId="9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10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10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3" fontId="8" fillId="4" borderId="1" xfId="0" applyNumberFormat="1" applyFont="1" applyFill="1" applyBorder="1" applyProtection="1">
      <protection locked="0"/>
    </xf>
    <xf numFmtId="3" fontId="8" fillId="10" borderId="1" xfId="0" applyNumberFormat="1" applyFont="1" applyFill="1" applyBorder="1" applyProtection="1">
      <protection locked="0"/>
    </xf>
    <xf numFmtId="1" fontId="8" fillId="10" borderId="1" xfId="0" applyNumberFormat="1" applyFont="1" applyFill="1" applyBorder="1" applyProtection="1">
      <protection locked="0"/>
    </xf>
    <xf numFmtId="2" fontId="8" fillId="10" borderId="1" xfId="0" applyNumberFormat="1" applyFont="1" applyFill="1" applyBorder="1" applyProtection="1">
      <protection locked="0"/>
    </xf>
    <xf numFmtId="2" fontId="8" fillId="10" borderId="1" xfId="0" applyNumberFormat="1" applyFont="1" applyFill="1" applyBorder="1" applyProtection="1"/>
    <xf numFmtId="0" fontId="8" fillId="10" borderId="2" xfId="0" applyFont="1" applyFill="1" applyBorder="1" applyAlignment="1" applyProtection="1">
      <alignment horizontal="left"/>
    </xf>
    <xf numFmtId="0" fontId="8" fillId="10" borderId="10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10" borderId="2" xfId="0" quotePrefix="1" applyFont="1" applyFill="1" applyBorder="1" applyAlignment="1" applyProtection="1">
      <alignment horizontal="left"/>
    </xf>
    <xf numFmtId="49" fontId="8" fillId="10" borderId="2" xfId="0" applyNumberFormat="1" applyFont="1" applyFill="1" applyBorder="1" applyAlignment="1" applyProtection="1">
      <protection locked="0"/>
    </xf>
    <xf numFmtId="49" fontId="8" fillId="10" borderId="10" xfId="0" applyNumberFormat="1" applyFont="1" applyFill="1" applyBorder="1" applyAlignment="1" applyProtection="1">
      <protection locked="0"/>
    </xf>
    <xf numFmtId="165" fontId="8" fillId="10" borderId="1" xfId="0" applyNumberFormat="1" applyFont="1" applyFill="1" applyBorder="1" applyProtection="1"/>
    <xf numFmtId="0" fontId="8" fillId="4" borderId="1" xfId="0" applyFont="1" applyFill="1" applyBorder="1" applyProtection="1"/>
    <xf numFmtId="0" fontId="11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1" fontId="8" fillId="10" borderId="1" xfId="0" applyNumberFormat="1" applyFont="1" applyFill="1" applyBorder="1" applyProtection="1"/>
    <xf numFmtId="0" fontId="8" fillId="10" borderId="5" xfId="0" applyFont="1" applyFill="1" applyBorder="1" applyProtection="1"/>
    <xf numFmtId="0" fontId="8" fillId="10" borderId="7" xfId="0" applyFont="1" applyFill="1" applyBorder="1" applyProtection="1"/>
    <xf numFmtId="0" fontId="8" fillId="10" borderId="9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49" fontId="8" fillId="10" borderId="2" xfId="0" applyNumberFormat="1" applyFont="1" applyFill="1" applyBorder="1" applyAlignment="1" applyProtection="1">
      <alignment horizontal="left" wrapText="1"/>
      <protection locked="0"/>
    </xf>
    <xf numFmtId="0" fontId="8" fillId="10" borderId="2" xfId="0" applyFont="1" applyFill="1" applyBorder="1" applyAlignment="1" applyProtection="1">
      <alignment horizontal="left"/>
    </xf>
    <xf numFmtId="0" fontId="8" fillId="10" borderId="10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10" borderId="2" xfId="0" quotePrefix="1" applyFont="1" applyFill="1" applyBorder="1" applyAlignment="1" applyProtection="1">
      <alignment horizontal="left"/>
    </xf>
    <xf numFmtId="0" fontId="12" fillId="10" borderId="2" xfId="0" applyFont="1" applyFill="1" applyBorder="1" applyAlignment="1" applyProtection="1">
      <alignment horizontal="left"/>
    </xf>
    <xf numFmtId="0" fontId="10" fillId="10" borderId="10" xfId="0" applyFont="1" applyFill="1" applyBorder="1" applyAlignment="1" applyProtection="1">
      <alignment horizontal="left"/>
    </xf>
    <xf numFmtId="0" fontId="10" fillId="10" borderId="3" xfId="0" applyFont="1" applyFill="1" applyBorder="1" applyAlignment="1" applyProtection="1">
      <alignment horizontal="left"/>
    </xf>
    <xf numFmtId="3" fontId="8" fillId="10" borderId="1" xfId="0" applyNumberFormat="1" applyFont="1" applyFill="1" applyBorder="1" applyAlignment="1" applyProtection="1">
      <protection locked="0"/>
    </xf>
    <xf numFmtId="3" fontId="8" fillId="10" borderId="1" xfId="1" applyNumberFormat="1" applyFont="1" applyFill="1" applyBorder="1" applyAlignment="1" applyProtection="1">
      <protection locked="0"/>
    </xf>
    <xf numFmtId="3" fontId="11" fillId="4" borderId="1" xfId="0" applyNumberFormat="1" applyFont="1" applyFill="1" applyBorder="1" applyProtection="1"/>
    <xf numFmtId="0" fontId="1" fillId="9" borderId="6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7" xfId="2" applyFont="1" applyFill="1" applyBorder="1" applyAlignment="1" applyProtection="1">
      <alignment horizontal="center"/>
    </xf>
    <xf numFmtId="0" fontId="1" fillId="12" borderId="6" xfId="2" applyFont="1" applyFill="1" applyBorder="1" applyAlignment="1" applyProtection="1">
      <alignment horizontal="center"/>
    </xf>
    <xf numFmtId="0" fontId="1" fillId="12" borderId="0" xfId="2" applyFont="1" applyFill="1" applyBorder="1" applyAlignment="1" applyProtection="1">
      <alignment horizontal="center"/>
    </xf>
    <xf numFmtId="0" fontId="1" fillId="12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5" fillId="8" borderId="6" xfId="2" applyFont="1" applyFill="1" applyBorder="1" applyAlignment="1" applyProtection="1">
      <alignment horizontal="center"/>
    </xf>
    <xf numFmtId="0" fontId="0" fillId="8" borderId="0" xfId="0" applyFill="1" applyBorder="1" applyAlignment="1" applyProtection="1">
      <alignment horizontal="center"/>
    </xf>
    <xf numFmtId="0" fontId="0" fillId="8" borderId="7" xfId="0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5" fillId="6" borderId="6" xfId="2" applyFont="1" applyFill="1" applyBorder="1" applyAlignment="1" applyProtection="1">
      <alignment horizontal="center"/>
    </xf>
    <xf numFmtId="0" fontId="0" fillId="6" borderId="0" xfId="0" applyFill="1" applyBorder="1" applyAlignment="1" applyProtection="1">
      <alignment horizontal="center"/>
    </xf>
    <xf numFmtId="0" fontId="0" fillId="6" borderId="7" xfId="0" applyFill="1" applyBorder="1" applyAlignment="1" applyProtection="1">
      <alignment horizontal="center"/>
    </xf>
    <xf numFmtId="0" fontId="15" fillId="7" borderId="6" xfId="2" applyFont="1" applyFill="1" applyBorder="1" applyAlignment="1" applyProtection="1">
      <alignment horizontal="center"/>
    </xf>
    <xf numFmtId="0" fontId="15" fillId="7" borderId="0" xfId="2" applyFont="1" applyFill="1" applyBorder="1" applyAlignment="1" applyProtection="1">
      <alignment horizontal="center"/>
    </xf>
    <xf numFmtId="0" fontId="15" fillId="7" borderId="7" xfId="2" applyFont="1" applyFill="1" applyBorder="1" applyAlignment="1" applyProtection="1">
      <alignment horizontal="center"/>
    </xf>
    <xf numFmtId="0" fontId="8" fillId="10" borderId="2" xfId="0" quotePrefix="1" applyFont="1" applyFill="1" applyBorder="1" applyAlignment="1" applyProtection="1">
      <alignment horizontal="left"/>
    </xf>
    <xf numFmtId="0" fontId="8" fillId="10" borderId="10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 wrapText="1"/>
    </xf>
    <xf numFmtId="0" fontId="8" fillId="4" borderId="10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10" borderId="2" xfId="0" applyFont="1" applyFill="1" applyBorder="1" applyAlignment="1" applyProtection="1">
      <alignment horizontal="left" wrapText="1"/>
    </xf>
    <xf numFmtId="0" fontId="8" fillId="10" borderId="10" xfId="0" applyFont="1" applyFill="1" applyBorder="1" applyAlignment="1" applyProtection="1">
      <alignment horizontal="left" wrapText="1"/>
    </xf>
    <xf numFmtId="0" fontId="8" fillId="10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/>
    </xf>
    <xf numFmtId="0" fontId="8" fillId="10" borderId="2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10" borderId="10" xfId="0" quotePrefix="1" applyFont="1" applyFill="1" applyBorder="1" applyAlignment="1" applyProtection="1">
      <alignment horizontal="left"/>
    </xf>
    <xf numFmtId="0" fontId="8" fillId="10" borderId="3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 wrapText="1"/>
    </xf>
    <xf numFmtId="0" fontId="7" fillId="3" borderId="10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8" fillId="10" borderId="2" xfId="0" applyFont="1" applyFill="1" applyBorder="1" applyAlignment="1" applyProtection="1">
      <alignment horizontal="left"/>
      <protection locked="0"/>
    </xf>
    <xf numFmtId="0" fontId="8" fillId="10" borderId="10" xfId="0" applyFont="1" applyFill="1" applyBorder="1" applyAlignment="1" applyProtection="1">
      <alignment horizontal="left"/>
      <protection locked="0"/>
    </xf>
    <xf numFmtId="0" fontId="12" fillId="10" borderId="2" xfId="0" applyFont="1" applyFill="1" applyBorder="1" applyAlignment="1" applyProtection="1">
      <alignment horizontal="left"/>
    </xf>
    <xf numFmtId="0" fontId="10" fillId="10" borderId="10" xfId="0" applyFont="1" applyFill="1" applyBorder="1" applyAlignment="1" applyProtection="1">
      <alignment horizontal="left"/>
    </xf>
    <xf numFmtId="0" fontId="10" fillId="10" borderId="3" xfId="0" applyFont="1" applyFill="1" applyBorder="1" applyAlignment="1" applyProtection="1">
      <alignment horizontal="left"/>
    </xf>
    <xf numFmtId="0" fontId="11" fillId="4" borderId="2" xfId="0" applyFont="1" applyFill="1" applyBorder="1" applyAlignment="1" applyProtection="1">
      <alignment horizontal="left"/>
    </xf>
    <xf numFmtId="0" fontId="11" fillId="4" borderId="10" xfId="0" applyFont="1" applyFill="1" applyBorder="1" applyAlignment="1" applyProtection="1">
      <alignment horizontal="left"/>
    </xf>
    <xf numFmtId="0" fontId="11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7" fillId="3" borderId="2" xfId="0" quotePrefix="1" applyFont="1" applyFill="1" applyBorder="1" applyAlignment="1" applyProtection="1">
      <alignment horizontal="left"/>
    </xf>
    <xf numFmtId="49" fontId="8" fillId="10" borderId="2" xfId="0" applyNumberFormat="1" applyFont="1" applyFill="1" applyBorder="1" applyAlignment="1" applyProtection="1">
      <alignment horizontal="left"/>
      <protection locked="0"/>
    </xf>
    <xf numFmtId="49" fontId="8" fillId="10" borderId="3" xfId="0" applyNumberFormat="1" applyFont="1" applyFill="1" applyBorder="1" applyAlignment="1" applyProtection="1">
      <alignment horizontal="left"/>
      <protection locked="0"/>
    </xf>
  </cellXfs>
  <cellStyles count="4">
    <cellStyle name="Komma" xfId="1" builtinId="3"/>
    <cellStyle name="Link" xfId="2" builtinId="8"/>
    <cellStyle name="Normal" xfId="0" builtinId="0"/>
    <cellStyle name="Normal 12" xfId="3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32"/>
  <sheetViews>
    <sheetView showGridLines="0" tabSelected="1" view="pageLayout" zoomScaleNormal="100" workbookViewId="0"/>
  </sheetViews>
  <sheetFormatPr defaultColWidth="9.140625"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67" t="s">
        <v>5</v>
      </c>
      <c r="E6" s="67"/>
      <c r="F6" s="67"/>
      <c r="G6" s="67"/>
      <c r="H6" s="4"/>
      <c r="I6" s="2"/>
    </row>
    <row r="7" spans="1:9" ht="15" customHeight="1" x14ac:dyDescent="0.25">
      <c r="A7" s="2"/>
      <c r="B7" s="2"/>
      <c r="C7" s="4"/>
      <c r="D7" s="67"/>
      <c r="E7" s="67"/>
      <c r="F7" s="67"/>
      <c r="G7" s="67"/>
      <c r="H7" s="4"/>
      <c r="I7" s="2"/>
    </row>
    <row r="8" spans="1:9" ht="15.75" x14ac:dyDescent="0.25">
      <c r="A8" s="2"/>
      <c r="B8" s="2"/>
      <c r="C8" s="5"/>
      <c r="D8" s="72" t="s">
        <v>122</v>
      </c>
      <c r="E8" s="72"/>
      <c r="F8" s="72"/>
      <c r="G8" s="72"/>
      <c r="H8" s="5"/>
      <c r="I8" s="2"/>
    </row>
    <row r="9" spans="1:9" x14ac:dyDescent="0.25">
      <c r="A9" s="2"/>
      <c r="B9" s="2"/>
      <c r="C9" s="6"/>
      <c r="D9" s="6"/>
      <c r="E9" s="6"/>
      <c r="F9" s="6"/>
      <c r="G9" s="6"/>
      <c r="H9" s="6"/>
      <c r="I9" s="2"/>
    </row>
    <row r="10" spans="1:9" x14ac:dyDescent="0.25">
      <c r="A10" s="2"/>
      <c r="B10" s="6"/>
      <c r="C10" s="6"/>
      <c r="D10" s="6"/>
      <c r="E10" s="6"/>
      <c r="F10" s="6"/>
      <c r="G10" s="6"/>
      <c r="H10" s="6"/>
      <c r="I10" s="2"/>
    </row>
    <row r="11" spans="1:9" x14ac:dyDescent="0.25">
      <c r="A11" s="2"/>
      <c r="B11" s="6"/>
      <c r="C11" s="6"/>
      <c r="D11" s="71" t="s">
        <v>6</v>
      </c>
      <c r="E11" s="71"/>
      <c r="F11" s="71"/>
      <c r="G11" s="71"/>
      <c r="H11" s="6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7" t="s">
        <v>7</v>
      </c>
      <c r="D13" s="64" t="s">
        <v>69</v>
      </c>
      <c r="E13" s="65"/>
      <c r="F13" s="65"/>
      <c r="G13" s="66"/>
      <c r="H13" s="2"/>
      <c r="I13" s="2"/>
    </row>
    <row r="14" spans="1:9" x14ac:dyDescent="0.25">
      <c r="A14" s="2"/>
      <c r="B14" s="2"/>
      <c r="C14" s="7" t="s">
        <v>68</v>
      </c>
      <c r="D14" s="64" t="s">
        <v>70</v>
      </c>
      <c r="E14" s="65"/>
      <c r="F14" s="65"/>
      <c r="G14" s="66"/>
      <c r="H14" s="2"/>
      <c r="I14" s="2"/>
    </row>
    <row r="15" spans="1:9" x14ac:dyDescent="0.25">
      <c r="A15" s="2"/>
      <c r="B15" s="2"/>
      <c r="C15" s="7" t="s">
        <v>8</v>
      </c>
      <c r="D15" s="73" t="s">
        <v>63</v>
      </c>
      <c r="E15" s="74"/>
      <c r="F15" s="74"/>
      <c r="G15" s="75"/>
      <c r="H15" s="2"/>
      <c r="I15" s="2"/>
    </row>
    <row r="16" spans="1:9" x14ac:dyDescent="0.25">
      <c r="A16" s="2"/>
      <c r="B16" s="2"/>
      <c r="C16" s="7" t="s">
        <v>9</v>
      </c>
      <c r="D16" s="73" t="s">
        <v>49</v>
      </c>
      <c r="E16" s="74"/>
      <c r="F16" s="74"/>
      <c r="G16" s="75"/>
      <c r="H16" s="2"/>
      <c r="I16" s="2"/>
    </row>
    <row r="17" spans="1:9" x14ac:dyDescent="0.25">
      <c r="A17" s="2"/>
      <c r="B17" s="2"/>
      <c r="C17" s="7" t="s">
        <v>10</v>
      </c>
      <c r="D17" s="76" t="s">
        <v>15</v>
      </c>
      <c r="E17" s="77"/>
      <c r="F17" s="77"/>
      <c r="G17" s="78"/>
      <c r="H17" s="2"/>
      <c r="I17" s="2"/>
    </row>
    <row r="18" spans="1:9" x14ac:dyDescent="0.25">
      <c r="A18" s="2"/>
      <c r="B18" s="2"/>
      <c r="C18" s="7" t="s">
        <v>11</v>
      </c>
      <c r="D18" s="76" t="s">
        <v>16</v>
      </c>
      <c r="E18" s="77"/>
      <c r="F18" s="77"/>
      <c r="G18" s="78"/>
      <c r="H18" s="2"/>
      <c r="I18" s="2"/>
    </row>
    <row r="19" spans="1:9" x14ac:dyDescent="0.25">
      <c r="A19" s="2"/>
      <c r="B19" s="2"/>
      <c r="C19" s="7" t="s">
        <v>12</v>
      </c>
      <c r="D19" s="79" t="s">
        <v>17</v>
      </c>
      <c r="E19" s="80"/>
      <c r="F19" s="80"/>
      <c r="G19" s="81"/>
      <c r="H19" s="2"/>
      <c r="I19" s="2"/>
    </row>
    <row r="20" spans="1:9" x14ac:dyDescent="0.25">
      <c r="A20" s="2"/>
      <c r="B20" s="2"/>
      <c r="C20" s="7" t="s">
        <v>13</v>
      </c>
      <c r="D20" s="68" t="s">
        <v>75</v>
      </c>
      <c r="E20" s="69"/>
      <c r="F20" s="69"/>
      <c r="G20" s="70"/>
      <c r="H20" s="2"/>
      <c r="I20" s="2"/>
    </row>
    <row r="21" spans="1:9" x14ac:dyDescent="0.25">
      <c r="A21" s="2"/>
      <c r="B21" s="2"/>
      <c r="C21" s="7" t="s">
        <v>14</v>
      </c>
      <c r="D21" s="68" t="s">
        <v>98</v>
      </c>
      <c r="E21" s="69"/>
      <c r="F21" s="69"/>
      <c r="G21" s="70"/>
      <c r="H21" s="2"/>
      <c r="I21" s="2"/>
    </row>
    <row r="22" spans="1:9" x14ac:dyDescent="0.25">
      <c r="A22" s="2"/>
      <c r="B22" s="2"/>
      <c r="C22" s="7" t="s">
        <v>59</v>
      </c>
      <c r="D22" s="58" t="s">
        <v>142</v>
      </c>
      <c r="E22" s="59"/>
      <c r="F22" s="59"/>
      <c r="G22" s="60"/>
      <c r="H22" s="2"/>
      <c r="I22" s="2"/>
    </row>
    <row r="23" spans="1:9" x14ac:dyDescent="0.25">
      <c r="A23" s="2"/>
      <c r="B23" s="2"/>
      <c r="C23" s="7" t="s">
        <v>66</v>
      </c>
      <c r="D23" s="61" t="s">
        <v>65</v>
      </c>
      <c r="E23" s="62"/>
      <c r="F23" s="62"/>
      <c r="G23" s="63"/>
      <c r="H23" s="2"/>
      <c r="I23" s="2"/>
    </row>
    <row r="24" spans="1:9" x14ac:dyDescent="0.25">
      <c r="A24" s="2"/>
      <c r="B24" s="2"/>
      <c r="C24" s="7" t="s">
        <v>67</v>
      </c>
      <c r="D24" s="61" t="s">
        <v>64</v>
      </c>
      <c r="E24" s="62"/>
      <c r="F24" s="62"/>
      <c r="G24" s="63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</sheetData>
  <sheetProtection password="DFE9" sheet="1" objects="1" scenarios="1"/>
  <mergeCells count="15">
    <mergeCell ref="D22:G22"/>
    <mergeCell ref="D23:G23"/>
    <mergeCell ref="D24:G24"/>
    <mergeCell ref="D14:G14"/>
    <mergeCell ref="D6:G7"/>
    <mergeCell ref="D20:G20"/>
    <mergeCell ref="D21:G21"/>
    <mergeCell ref="D11:G11"/>
    <mergeCell ref="D8:G8"/>
    <mergeCell ref="D15:G15"/>
    <mergeCell ref="D16:G16"/>
    <mergeCell ref="D17:G17"/>
    <mergeCell ref="D18:G18"/>
    <mergeCell ref="D19:G19"/>
    <mergeCell ref="D13:G13"/>
  </mergeCells>
  <hyperlinks>
    <hyperlink ref="D14:G14" location="'Fane 2.2. Økonomisk ramme 2019'!A1" display="Samlet økonomisk ramme for 2019"/>
    <hyperlink ref="D15:G15" location="'Fane 3. Korrigeret grundlag'!A1" display="Korrektion af grundlag"/>
    <hyperlink ref="D16:G16" location="'Fane 4. Ikke-påvirkelige omk.'!A1" display="Ikke-påvirkelige omkostninger"/>
    <hyperlink ref="D17:G17" location="'Fane 5. Individuelt eff.krav'!A1" display="Individuelt effektiviseringskrav"/>
    <hyperlink ref="D18:G18" location="'Fane 6. Generelt eff.krav'!A1" display="Generelt effektiviseringskrav"/>
    <hyperlink ref="D19:G19" location="'Fane 7. Hist. over el. underdæk'!A1" display="Historisk over- eller underdækning"/>
    <hyperlink ref="D20:G20" location="'Fane 8. Gen. inv. i 2016'!A1" display="Gennemførte investeringer i 2015"/>
    <hyperlink ref="D21:G21" location="'Fane 9. Korrektion af PL2016'!A1" display="Korrektion af prisloft 2015"/>
    <hyperlink ref="D22:G22" location="'Fane 10. Kontrol af PL2016'!A1" display="Kontrol af prisloft 2015"/>
    <hyperlink ref="D23:G23" location="'Fane 11. Tillæg'!A1" display="Tillæg"/>
    <hyperlink ref="D24:G24" location="'Fane 12. Bortfald'!A1" display="Bortfald af omkostninger"/>
    <hyperlink ref="D13:G13" location="'Fane 2.1. Økonomisk ramme 2018'!A1" display="Samlet økonomisk ramme for 2018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4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104" t="s">
        <v>77</v>
      </c>
      <c r="C3" s="104"/>
      <c r="D3" s="104"/>
      <c r="E3" s="104"/>
      <c r="F3" s="104"/>
      <c r="G3" s="104"/>
      <c r="H3" s="104"/>
      <c r="I3" s="2"/>
    </row>
    <row r="4" spans="1:9" ht="15" customHeight="1" x14ac:dyDescent="0.25">
      <c r="A4" s="2"/>
      <c r="B4" s="104"/>
      <c r="C4" s="104"/>
      <c r="D4" s="104"/>
      <c r="E4" s="104"/>
      <c r="F4" s="104"/>
      <c r="G4" s="104"/>
      <c r="H4" s="10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101" t="s">
        <v>166</v>
      </c>
      <c r="C8" s="102"/>
      <c r="D8" s="102"/>
      <c r="E8" s="102"/>
      <c r="F8" s="102"/>
      <c r="G8" s="102"/>
      <c r="H8" s="103"/>
      <c r="I8" s="2"/>
    </row>
    <row r="9" spans="1:9" x14ac:dyDescent="0.25">
      <c r="A9" s="2"/>
      <c r="B9" s="95" t="s">
        <v>78</v>
      </c>
      <c r="C9" s="83"/>
      <c r="D9" s="83"/>
      <c r="E9" s="83"/>
      <c r="F9" s="84"/>
      <c r="G9" s="27">
        <v>5559830</v>
      </c>
      <c r="H9" s="23" t="s">
        <v>4</v>
      </c>
      <c r="I9" s="2"/>
    </row>
    <row r="10" spans="1:9" x14ac:dyDescent="0.25">
      <c r="A10" s="2"/>
      <c r="B10" s="95" t="s">
        <v>79</v>
      </c>
      <c r="C10" s="83"/>
      <c r="D10" s="83"/>
      <c r="E10" s="83"/>
      <c r="F10" s="84"/>
      <c r="G10" s="27">
        <v>5090700</v>
      </c>
      <c r="H10" s="23" t="s">
        <v>4</v>
      </c>
      <c r="I10" s="2"/>
    </row>
    <row r="11" spans="1:9" x14ac:dyDescent="0.25">
      <c r="A11" s="2"/>
      <c r="B11" s="91" t="s">
        <v>167</v>
      </c>
      <c r="C11" s="92"/>
      <c r="D11" s="92"/>
      <c r="E11" s="92"/>
      <c r="F11" s="93"/>
      <c r="G11" s="21">
        <f>G9-G10</f>
        <v>469130</v>
      </c>
      <c r="H11" s="22" t="s">
        <v>4</v>
      </c>
      <c r="I11" s="2"/>
    </row>
    <row r="12" spans="1:9" x14ac:dyDescent="0.25">
      <c r="A12" s="2"/>
      <c r="B12" s="24"/>
      <c r="C12" s="24"/>
      <c r="D12" s="24"/>
      <c r="E12" s="24"/>
      <c r="F12" s="24"/>
      <c r="G12" s="24"/>
      <c r="H12" s="24"/>
      <c r="I12" s="2"/>
    </row>
    <row r="13" spans="1:9" x14ac:dyDescent="0.25">
      <c r="A13" s="2"/>
      <c r="B13" s="24"/>
      <c r="C13" s="24"/>
      <c r="D13" s="24"/>
      <c r="E13" s="24"/>
      <c r="F13" s="24"/>
      <c r="G13" s="24"/>
      <c r="H13" s="24"/>
      <c r="I13" s="2"/>
    </row>
    <row r="14" spans="1:9" x14ac:dyDescent="0.25">
      <c r="A14" s="2"/>
      <c r="B14" s="101" t="s">
        <v>168</v>
      </c>
      <c r="C14" s="102"/>
      <c r="D14" s="102"/>
      <c r="E14" s="102"/>
      <c r="F14" s="102"/>
      <c r="G14" s="102"/>
      <c r="H14" s="103"/>
      <c r="I14" s="2"/>
    </row>
    <row r="15" spans="1:9" x14ac:dyDescent="0.25">
      <c r="A15" s="2"/>
      <c r="B15" s="95" t="s">
        <v>80</v>
      </c>
      <c r="C15" s="83"/>
      <c r="D15" s="83"/>
      <c r="E15" s="83"/>
      <c r="F15" s="84"/>
      <c r="G15" s="27">
        <v>137723</v>
      </c>
      <c r="H15" s="23" t="s">
        <v>4</v>
      </c>
      <c r="I15" s="2"/>
    </row>
    <row r="16" spans="1:9" x14ac:dyDescent="0.25">
      <c r="A16" s="2"/>
      <c r="B16" s="95" t="s">
        <v>81</v>
      </c>
      <c r="C16" s="83"/>
      <c r="D16" s="83"/>
      <c r="E16" s="83"/>
      <c r="F16" s="84"/>
      <c r="G16" s="27">
        <v>-52000</v>
      </c>
      <c r="H16" s="23" t="s">
        <v>4</v>
      </c>
      <c r="I16" s="2"/>
    </row>
    <row r="17" spans="1:9" x14ac:dyDescent="0.25">
      <c r="A17" s="2"/>
      <c r="B17" s="91" t="s">
        <v>168</v>
      </c>
      <c r="C17" s="92"/>
      <c r="D17" s="92"/>
      <c r="E17" s="92"/>
      <c r="F17" s="93"/>
      <c r="G17" s="21">
        <f>G15-G16</f>
        <v>189723</v>
      </c>
      <c r="H17" s="22" t="s">
        <v>4</v>
      </c>
      <c r="I17" s="2"/>
    </row>
    <row r="18" spans="1:9" x14ac:dyDescent="0.25">
      <c r="A18" s="2"/>
      <c r="B18" s="24"/>
      <c r="C18" s="24"/>
      <c r="D18" s="24"/>
      <c r="E18" s="24"/>
      <c r="F18" s="24"/>
      <c r="G18" s="24"/>
      <c r="H18" s="24"/>
      <c r="I18" s="2"/>
    </row>
    <row r="19" spans="1:9" x14ac:dyDescent="0.25">
      <c r="A19" s="2"/>
      <c r="B19" s="24"/>
      <c r="C19" s="24"/>
      <c r="D19" s="24"/>
      <c r="E19" s="24"/>
      <c r="F19" s="24"/>
      <c r="G19" s="24"/>
      <c r="H19" s="24"/>
      <c r="I19" s="2"/>
    </row>
    <row r="20" spans="1:9" x14ac:dyDescent="0.25">
      <c r="A20" s="2"/>
      <c r="B20" s="101" t="s">
        <v>169</v>
      </c>
      <c r="C20" s="102"/>
      <c r="D20" s="102"/>
      <c r="E20" s="102"/>
      <c r="F20" s="102"/>
      <c r="G20" s="102"/>
      <c r="H20" s="103"/>
      <c r="I20" s="2"/>
    </row>
    <row r="21" spans="1:9" x14ac:dyDescent="0.25">
      <c r="A21" s="2"/>
      <c r="B21" s="95" t="s">
        <v>82</v>
      </c>
      <c r="C21" s="83"/>
      <c r="D21" s="83"/>
      <c r="E21" s="83"/>
      <c r="F21" s="84"/>
      <c r="G21" s="27">
        <v>78577</v>
      </c>
      <c r="H21" s="23" t="s">
        <v>4</v>
      </c>
      <c r="I21" s="2"/>
    </row>
    <row r="22" spans="1:9" x14ac:dyDescent="0.25">
      <c r="A22" s="2"/>
      <c r="B22" s="95" t="s">
        <v>83</v>
      </c>
      <c r="C22" s="83"/>
      <c r="D22" s="83"/>
      <c r="E22" s="83"/>
      <c r="F22" s="84"/>
      <c r="G22" s="27">
        <v>99000</v>
      </c>
      <c r="H22" s="23" t="s">
        <v>4</v>
      </c>
      <c r="I22" s="2"/>
    </row>
    <row r="23" spans="1:9" x14ac:dyDescent="0.25">
      <c r="A23" s="2"/>
      <c r="B23" s="91" t="s">
        <v>169</v>
      </c>
      <c r="C23" s="92"/>
      <c r="D23" s="92"/>
      <c r="E23" s="92"/>
      <c r="F23" s="93"/>
      <c r="G23" s="21">
        <f>G21-G22</f>
        <v>-20423</v>
      </c>
      <c r="H23" s="22" t="s">
        <v>4</v>
      </c>
      <c r="I23" s="2"/>
    </row>
    <row r="24" spans="1:9" ht="15" customHeight="1" x14ac:dyDescent="0.25">
      <c r="A24" s="2"/>
      <c r="B24" s="24"/>
      <c r="C24" s="24"/>
      <c r="D24" s="24"/>
      <c r="E24" s="24"/>
      <c r="F24" s="24"/>
      <c r="G24" s="24"/>
      <c r="H24" s="24"/>
      <c r="I24" s="2"/>
    </row>
    <row r="25" spans="1:9" x14ac:dyDescent="0.25">
      <c r="A25" s="2"/>
      <c r="B25" s="24"/>
      <c r="C25" s="24"/>
      <c r="D25" s="24"/>
      <c r="E25" s="24"/>
      <c r="F25" s="24"/>
      <c r="G25" s="24"/>
      <c r="H25" s="24"/>
      <c r="I25" s="2"/>
    </row>
    <row r="26" spans="1:9" ht="15" customHeight="1" x14ac:dyDescent="0.25">
      <c r="A26" s="2"/>
      <c r="B26" s="101" t="s">
        <v>170</v>
      </c>
      <c r="C26" s="102"/>
      <c r="D26" s="102"/>
      <c r="E26" s="102"/>
      <c r="F26" s="102"/>
      <c r="G26" s="102"/>
      <c r="H26" s="103"/>
      <c r="I26" s="2"/>
    </row>
    <row r="27" spans="1:9" ht="29.25" customHeight="1" x14ac:dyDescent="0.25">
      <c r="A27" s="2"/>
      <c r="B27" s="88" t="s">
        <v>84</v>
      </c>
      <c r="C27" s="89"/>
      <c r="D27" s="89"/>
      <c r="E27" s="89"/>
      <c r="F27" s="90"/>
      <c r="G27" s="27">
        <v>0</v>
      </c>
      <c r="H27" s="23" t="s">
        <v>4</v>
      </c>
      <c r="I27" s="2"/>
    </row>
    <row r="28" spans="1:9" x14ac:dyDescent="0.25">
      <c r="A28" s="2"/>
      <c r="B28" s="95" t="s">
        <v>85</v>
      </c>
      <c r="C28" s="83"/>
      <c r="D28" s="83"/>
      <c r="E28" s="83"/>
      <c r="F28" s="84"/>
      <c r="G28" s="27">
        <v>0</v>
      </c>
      <c r="H28" s="23" t="s">
        <v>4</v>
      </c>
      <c r="I28" s="2"/>
    </row>
    <row r="29" spans="1:9" ht="15" customHeight="1" x14ac:dyDescent="0.25">
      <c r="A29" s="2"/>
      <c r="B29" s="101" t="s">
        <v>170</v>
      </c>
      <c r="C29" s="102"/>
      <c r="D29" s="102"/>
      <c r="E29" s="102"/>
      <c r="F29" s="103"/>
      <c r="G29" s="21">
        <f>G27-G28</f>
        <v>0</v>
      </c>
      <c r="H29" s="22" t="s">
        <v>4</v>
      </c>
      <c r="I29" s="2"/>
    </row>
    <row r="30" spans="1:9" x14ac:dyDescent="0.25">
      <c r="A30" s="2"/>
      <c r="B30" s="24"/>
      <c r="C30" s="24"/>
      <c r="D30" s="24"/>
      <c r="E30" s="24"/>
      <c r="F30" s="24"/>
      <c r="G30" s="24"/>
      <c r="H30" s="24"/>
      <c r="I30" s="2"/>
    </row>
    <row r="31" spans="1:9" x14ac:dyDescent="0.25">
      <c r="A31" s="2"/>
      <c r="B31" s="24"/>
      <c r="C31" s="24"/>
      <c r="D31" s="24"/>
      <c r="E31" s="24"/>
      <c r="F31" s="24"/>
      <c r="G31" s="24"/>
      <c r="H31" s="24"/>
      <c r="I31" s="2"/>
    </row>
    <row r="32" spans="1:9" x14ac:dyDescent="0.25">
      <c r="A32" s="2"/>
      <c r="B32" s="101" t="s">
        <v>86</v>
      </c>
      <c r="C32" s="102"/>
      <c r="D32" s="102"/>
      <c r="E32" s="102"/>
      <c r="F32" s="102"/>
      <c r="G32" s="102"/>
      <c r="H32" s="103"/>
      <c r="I32" s="2"/>
    </row>
    <row r="33" spans="1:9" x14ac:dyDescent="0.25">
      <c r="A33" s="2"/>
      <c r="B33" s="95" t="s">
        <v>87</v>
      </c>
      <c r="C33" s="83"/>
      <c r="D33" s="83"/>
      <c r="E33" s="83"/>
      <c r="F33" s="84"/>
      <c r="G33" s="12">
        <f>'Fane 8. Gen. inv. i 2016'!F15</f>
        <v>228628.02666666667</v>
      </c>
      <c r="H33" s="23" t="s">
        <v>4</v>
      </c>
      <c r="I33" s="2"/>
    </row>
    <row r="34" spans="1:9" x14ac:dyDescent="0.25">
      <c r="A34" s="2"/>
      <c r="B34" s="95" t="s">
        <v>88</v>
      </c>
      <c r="C34" s="83"/>
      <c r="D34" s="83"/>
      <c r="E34" s="83"/>
      <c r="F34" s="84"/>
      <c r="G34" s="27">
        <v>726666.66666666663</v>
      </c>
      <c r="H34" s="23" t="s">
        <v>4</v>
      </c>
      <c r="I34" s="2"/>
    </row>
    <row r="35" spans="1:9" x14ac:dyDescent="0.25">
      <c r="A35" s="2"/>
      <c r="B35" s="91" t="s">
        <v>86</v>
      </c>
      <c r="C35" s="92"/>
      <c r="D35" s="92"/>
      <c r="E35" s="92"/>
      <c r="F35" s="93"/>
      <c r="G35" s="21">
        <f>G33-G34</f>
        <v>-498038.63999999996</v>
      </c>
      <c r="H35" s="22" t="s">
        <v>4</v>
      </c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</sheetData>
  <sheetProtection password="DFE9" sheet="1" objects="1" scenarios="1"/>
  <mergeCells count="21">
    <mergeCell ref="B21:F21"/>
    <mergeCell ref="B22:F22"/>
    <mergeCell ref="B34:F34"/>
    <mergeCell ref="B35:F35"/>
    <mergeCell ref="B26:H26"/>
    <mergeCell ref="B29:F29"/>
    <mergeCell ref="B23:F23"/>
    <mergeCell ref="B32:H32"/>
    <mergeCell ref="B33:F33"/>
    <mergeCell ref="B27:F27"/>
    <mergeCell ref="B28:F28"/>
    <mergeCell ref="B14:H14"/>
    <mergeCell ref="B15:F15"/>
    <mergeCell ref="B16:F16"/>
    <mergeCell ref="B17:F17"/>
    <mergeCell ref="B20:H20"/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0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104" t="s">
        <v>89</v>
      </c>
      <c r="C3" s="104"/>
      <c r="D3" s="104"/>
      <c r="E3" s="104"/>
      <c r="F3" s="104"/>
      <c r="G3" s="104"/>
      <c r="H3" s="104"/>
      <c r="I3" s="2"/>
    </row>
    <row r="4" spans="1:9" ht="15" customHeight="1" x14ac:dyDescent="0.25">
      <c r="A4" s="2"/>
      <c r="B4" s="104"/>
      <c r="C4" s="104"/>
      <c r="D4" s="104"/>
      <c r="E4" s="104"/>
      <c r="F4" s="104"/>
      <c r="G4" s="104"/>
      <c r="H4" s="10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90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96" t="s">
        <v>91</v>
      </c>
      <c r="C9" s="97"/>
      <c r="D9" s="97"/>
      <c r="E9" s="97"/>
      <c r="F9" s="98"/>
      <c r="G9" s="26">
        <v>43783877.186843984</v>
      </c>
      <c r="H9" s="38" t="s">
        <v>4</v>
      </c>
      <c r="I9" s="2"/>
    </row>
    <row r="10" spans="1:9" x14ac:dyDescent="0.25">
      <c r="A10" s="2"/>
      <c r="B10" s="91" t="s">
        <v>92</v>
      </c>
      <c r="C10" s="92"/>
      <c r="D10" s="92"/>
      <c r="E10" s="92"/>
      <c r="F10" s="92"/>
      <c r="G10" s="92"/>
      <c r="H10" s="93"/>
      <c r="I10" s="2"/>
    </row>
    <row r="11" spans="1:9" x14ac:dyDescent="0.25">
      <c r="A11" s="2"/>
      <c r="B11" s="95" t="s">
        <v>19</v>
      </c>
      <c r="C11" s="83"/>
      <c r="D11" s="84"/>
      <c r="E11" s="27">
        <v>23062533</v>
      </c>
      <c r="F11" s="23" t="s">
        <v>4</v>
      </c>
      <c r="G11" s="20"/>
      <c r="H11" s="42"/>
      <c r="I11" s="2"/>
    </row>
    <row r="12" spans="1:9" x14ac:dyDescent="0.25">
      <c r="A12" s="2"/>
      <c r="B12" s="95" t="s">
        <v>93</v>
      </c>
      <c r="C12" s="83"/>
      <c r="D12" s="84"/>
      <c r="E12" s="27">
        <v>2241180</v>
      </c>
      <c r="F12" s="23" t="s">
        <v>4</v>
      </c>
      <c r="G12" s="15"/>
      <c r="H12" s="43"/>
      <c r="I12" s="2"/>
    </row>
    <row r="13" spans="1:9" x14ac:dyDescent="0.25">
      <c r="A13" s="2"/>
      <c r="B13" s="95" t="s">
        <v>94</v>
      </c>
      <c r="C13" s="83"/>
      <c r="D13" s="84"/>
      <c r="E13" s="27">
        <v>-387993</v>
      </c>
      <c r="F13" s="23" t="s">
        <v>4</v>
      </c>
      <c r="G13" s="15"/>
      <c r="H13" s="43"/>
      <c r="I13" s="2"/>
    </row>
    <row r="14" spans="1:9" x14ac:dyDescent="0.25">
      <c r="A14" s="2"/>
      <c r="B14" s="95" t="s">
        <v>95</v>
      </c>
      <c r="C14" s="83"/>
      <c r="D14" s="84"/>
      <c r="E14" s="27">
        <v>1605000</v>
      </c>
      <c r="F14" s="23" t="s">
        <v>4</v>
      </c>
      <c r="G14" s="15"/>
      <c r="H14" s="43"/>
      <c r="I14" s="2"/>
    </row>
    <row r="15" spans="1:9" x14ac:dyDescent="0.25">
      <c r="A15" s="2"/>
      <c r="B15" s="96" t="s">
        <v>20</v>
      </c>
      <c r="C15" s="97"/>
      <c r="D15" s="98"/>
      <c r="E15" s="18">
        <f>SUM(E11:E14)</f>
        <v>26520720</v>
      </c>
      <c r="F15" s="38" t="s">
        <v>4</v>
      </c>
      <c r="G15" s="15"/>
      <c r="H15" s="43"/>
      <c r="I15" s="2"/>
    </row>
    <row r="16" spans="1:9" x14ac:dyDescent="0.25">
      <c r="A16" s="2"/>
      <c r="B16" s="95" t="s">
        <v>21</v>
      </c>
      <c r="C16" s="83"/>
      <c r="D16" s="84"/>
      <c r="E16" s="27">
        <v>2752897</v>
      </c>
      <c r="F16" s="23" t="s">
        <v>4</v>
      </c>
      <c r="G16" s="15"/>
      <c r="H16" s="43"/>
      <c r="I16" s="2"/>
    </row>
    <row r="17" spans="1:9" x14ac:dyDescent="0.25">
      <c r="A17" s="2"/>
      <c r="B17" s="95" t="s">
        <v>22</v>
      </c>
      <c r="C17" s="83"/>
      <c r="D17" s="84"/>
      <c r="E17" s="27">
        <v>0</v>
      </c>
      <c r="F17" s="23" t="s">
        <v>4</v>
      </c>
      <c r="G17" s="15"/>
      <c r="H17" s="43"/>
      <c r="I17" s="2"/>
    </row>
    <row r="18" spans="1:9" x14ac:dyDescent="0.25">
      <c r="A18" s="2"/>
      <c r="B18" s="95" t="s">
        <v>23</v>
      </c>
      <c r="C18" s="83"/>
      <c r="D18" s="84"/>
      <c r="E18" s="27">
        <v>0</v>
      </c>
      <c r="F18" s="23" t="s">
        <v>4</v>
      </c>
      <c r="G18" s="15"/>
      <c r="H18" s="43"/>
      <c r="I18" s="2"/>
    </row>
    <row r="19" spans="1:9" x14ac:dyDescent="0.25">
      <c r="A19" s="2"/>
      <c r="B19" s="96" t="s">
        <v>24</v>
      </c>
      <c r="C19" s="97"/>
      <c r="D19" s="98"/>
      <c r="E19" s="18">
        <f>SUM(E16:E18)</f>
        <v>2752897</v>
      </c>
      <c r="F19" s="38" t="s">
        <v>4</v>
      </c>
      <c r="G19" s="15"/>
      <c r="H19" s="43"/>
      <c r="I19" s="2"/>
    </row>
    <row r="20" spans="1:9" ht="29.25" customHeight="1" x14ac:dyDescent="0.25">
      <c r="A20" s="2"/>
      <c r="B20" s="88" t="s">
        <v>25</v>
      </c>
      <c r="C20" s="89"/>
      <c r="D20" s="90"/>
      <c r="E20" s="27">
        <v>-93103</v>
      </c>
      <c r="F20" s="23" t="s">
        <v>4</v>
      </c>
      <c r="G20" s="15"/>
      <c r="H20" s="43"/>
      <c r="I20" s="2"/>
    </row>
    <row r="21" spans="1:9" ht="30.75" customHeight="1" x14ac:dyDescent="0.25">
      <c r="A21" s="2"/>
      <c r="B21" s="88" t="s">
        <v>26</v>
      </c>
      <c r="C21" s="89"/>
      <c r="D21" s="90"/>
      <c r="E21" s="27">
        <v>-22190078</v>
      </c>
      <c r="F21" s="23" t="s">
        <v>4</v>
      </c>
      <c r="G21" s="15"/>
      <c r="H21" s="43"/>
      <c r="I21" s="2"/>
    </row>
    <row r="22" spans="1:9" x14ac:dyDescent="0.25">
      <c r="A22" s="2"/>
      <c r="B22" s="95" t="s">
        <v>27</v>
      </c>
      <c r="C22" s="83"/>
      <c r="D22" s="84"/>
      <c r="E22" s="27">
        <v>0</v>
      </c>
      <c r="F22" s="23" t="s">
        <v>4</v>
      </c>
      <c r="G22" s="15"/>
      <c r="H22" s="43"/>
      <c r="I22" s="2"/>
    </row>
    <row r="23" spans="1:9" x14ac:dyDescent="0.25">
      <c r="A23" s="2"/>
      <c r="B23" s="95" t="s">
        <v>28</v>
      </c>
      <c r="C23" s="83"/>
      <c r="D23" s="84"/>
      <c r="E23" s="27">
        <v>0</v>
      </c>
      <c r="F23" s="23" t="s">
        <v>4</v>
      </c>
      <c r="G23" s="15"/>
      <c r="H23" s="43"/>
      <c r="I23" s="2"/>
    </row>
    <row r="24" spans="1:9" ht="30" customHeight="1" x14ac:dyDescent="0.25">
      <c r="A24" s="2"/>
      <c r="B24" s="88" t="s">
        <v>29</v>
      </c>
      <c r="C24" s="89"/>
      <c r="D24" s="90"/>
      <c r="E24" s="27">
        <v>0</v>
      </c>
      <c r="F24" s="23" t="s">
        <v>4</v>
      </c>
      <c r="G24" s="15"/>
      <c r="H24" s="43"/>
      <c r="I24" s="2"/>
    </row>
    <row r="25" spans="1:9" ht="30" customHeight="1" x14ac:dyDescent="0.25">
      <c r="A25" s="2"/>
      <c r="B25" s="88" t="s">
        <v>30</v>
      </c>
      <c r="C25" s="89"/>
      <c r="D25" s="90"/>
      <c r="E25" s="27">
        <v>0</v>
      </c>
      <c r="F25" s="23" t="s">
        <v>4</v>
      </c>
      <c r="G25" s="15"/>
      <c r="H25" s="43"/>
      <c r="I25" s="2"/>
    </row>
    <row r="26" spans="1:9" ht="30" customHeight="1" x14ac:dyDescent="0.25">
      <c r="A26" s="2"/>
      <c r="B26" s="88" t="s">
        <v>31</v>
      </c>
      <c r="C26" s="89"/>
      <c r="D26" s="90"/>
      <c r="E26" s="27">
        <v>-731758</v>
      </c>
      <c r="F26" s="23" t="s">
        <v>4</v>
      </c>
      <c r="G26" s="15"/>
      <c r="H26" s="43"/>
      <c r="I26" s="2"/>
    </row>
    <row r="27" spans="1:9" x14ac:dyDescent="0.25">
      <c r="A27" s="2"/>
      <c r="B27" s="96" t="s">
        <v>32</v>
      </c>
      <c r="C27" s="97"/>
      <c r="D27" s="98"/>
      <c r="E27" s="18">
        <f>SUM(E20:E26)</f>
        <v>-23014939</v>
      </c>
      <c r="F27" s="38" t="s">
        <v>4</v>
      </c>
      <c r="G27" s="16"/>
      <c r="H27" s="44"/>
      <c r="I27" s="2"/>
    </row>
    <row r="28" spans="1:9" x14ac:dyDescent="0.25">
      <c r="A28" s="2"/>
      <c r="B28" s="96" t="s">
        <v>33</v>
      </c>
      <c r="C28" s="97"/>
      <c r="D28" s="98"/>
      <c r="E28" s="18">
        <f>E15+E19+E27</f>
        <v>6258678</v>
      </c>
      <c r="F28" s="38" t="s">
        <v>4</v>
      </c>
      <c r="G28" s="1">
        <f>IF(E28&lt;0,0,-E28)</f>
        <v>-6258678</v>
      </c>
      <c r="H28" s="38" t="s">
        <v>4</v>
      </c>
      <c r="I28" s="2"/>
    </row>
    <row r="29" spans="1:9" x14ac:dyDescent="0.25">
      <c r="A29" s="2"/>
      <c r="B29" s="91" t="s">
        <v>96</v>
      </c>
      <c r="C29" s="92"/>
      <c r="D29" s="92"/>
      <c r="E29" s="92"/>
      <c r="F29" s="92"/>
      <c r="G29" s="92"/>
      <c r="H29" s="93"/>
      <c r="I29" s="2"/>
    </row>
    <row r="30" spans="1:9" x14ac:dyDescent="0.25">
      <c r="A30" s="2"/>
      <c r="B30" s="96" t="s">
        <v>96</v>
      </c>
      <c r="C30" s="97"/>
      <c r="D30" s="98"/>
      <c r="E30" s="26">
        <v>0</v>
      </c>
      <c r="F30" s="38" t="s">
        <v>4</v>
      </c>
      <c r="G30" s="18">
        <f>-$E$30</f>
        <v>0</v>
      </c>
      <c r="H30" s="38" t="s">
        <v>4</v>
      </c>
      <c r="I30" s="2"/>
    </row>
    <row r="31" spans="1:9" x14ac:dyDescent="0.25">
      <c r="A31" s="2"/>
      <c r="B31" s="114" t="s">
        <v>57</v>
      </c>
      <c r="C31" s="92"/>
      <c r="D31" s="92"/>
      <c r="E31" s="92"/>
      <c r="F31" s="92"/>
      <c r="G31" s="92"/>
      <c r="H31" s="93"/>
      <c r="I31" s="2"/>
    </row>
    <row r="32" spans="1:9" ht="30" customHeight="1" x14ac:dyDescent="0.25">
      <c r="A32" s="2"/>
      <c r="B32" s="88" t="s">
        <v>58</v>
      </c>
      <c r="C32" s="89"/>
      <c r="D32" s="90"/>
      <c r="E32" s="27">
        <v>28652611</v>
      </c>
      <c r="F32" s="23" t="s">
        <v>4</v>
      </c>
      <c r="G32" s="20"/>
      <c r="H32" s="42"/>
      <c r="I32" s="2"/>
    </row>
    <row r="33" spans="1:9" x14ac:dyDescent="0.25">
      <c r="A33" s="2"/>
      <c r="B33" s="95" t="s">
        <v>34</v>
      </c>
      <c r="C33" s="83"/>
      <c r="D33" s="84"/>
      <c r="E33" s="27">
        <v>0</v>
      </c>
      <c r="F33" s="23" t="s">
        <v>4</v>
      </c>
      <c r="G33" s="15"/>
      <c r="H33" s="43"/>
      <c r="I33" s="2"/>
    </row>
    <row r="34" spans="1:9" ht="43.5" customHeight="1" x14ac:dyDescent="0.25">
      <c r="A34" s="2"/>
      <c r="B34" s="88" t="s">
        <v>35</v>
      </c>
      <c r="C34" s="89"/>
      <c r="D34" s="90"/>
      <c r="E34" s="27">
        <v>1649447</v>
      </c>
      <c r="F34" s="23" t="s">
        <v>4</v>
      </c>
      <c r="G34" s="16"/>
      <c r="H34" s="44"/>
      <c r="I34" s="2"/>
    </row>
    <row r="35" spans="1:9" x14ac:dyDescent="0.25">
      <c r="A35" s="2"/>
      <c r="B35" s="96" t="s">
        <v>36</v>
      </c>
      <c r="C35" s="97"/>
      <c r="D35" s="98"/>
      <c r="E35" s="18">
        <f>SUM(E32:E34)</f>
        <v>30302058</v>
      </c>
      <c r="F35" s="38" t="s">
        <v>4</v>
      </c>
      <c r="G35" s="18">
        <f>-E35</f>
        <v>-30302058</v>
      </c>
      <c r="H35" s="38" t="s">
        <v>4</v>
      </c>
      <c r="I35" s="2"/>
    </row>
    <row r="36" spans="1:9" x14ac:dyDescent="0.25">
      <c r="A36" s="2"/>
      <c r="B36" s="91" t="s">
        <v>97</v>
      </c>
      <c r="C36" s="92"/>
      <c r="D36" s="92"/>
      <c r="E36" s="92"/>
      <c r="F36" s="93"/>
      <c r="G36" s="21">
        <f>$G$9+$G$28+$G$30+$G$35</f>
        <v>7223141.1868439838</v>
      </c>
      <c r="H36" s="22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</sheetData>
  <sheetProtection password="DFE9" sheet="1" objects="1" scenarios="1"/>
  <mergeCells count="30"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24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94" t="s">
        <v>126</v>
      </c>
      <c r="C3" s="94"/>
      <c r="D3" s="94"/>
      <c r="E3" s="94"/>
      <c r="F3" s="94"/>
      <c r="G3" s="94"/>
      <c r="H3" s="2"/>
    </row>
    <row r="4" spans="1:8" ht="15" customHeight="1" x14ac:dyDescent="0.25">
      <c r="A4" s="2"/>
      <c r="B4" s="94"/>
      <c r="C4" s="94"/>
      <c r="D4" s="94"/>
      <c r="E4" s="94"/>
      <c r="F4" s="94"/>
      <c r="G4" s="94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163</v>
      </c>
      <c r="C8" s="92"/>
      <c r="D8" s="92"/>
      <c r="E8" s="92"/>
      <c r="F8" s="92"/>
      <c r="G8" s="93"/>
      <c r="H8" s="2"/>
    </row>
    <row r="9" spans="1:8" ht="29.25" customHeight="1" x14ac:dyDescent="0.25">
      <c r="A9" s="2"/>
      <c r="B9" s="85" t="s">
        <v>116</v>
      </c>
      <c r="C9" s="87"/>
      <c r="D9" s="113" t="s">
        <v>47</v>
      </c>
      <c r="E9" s="113"/>
      <c r="F9" s="113" t="s">
        <v>127</v>
      </c>
      <c r="G9" s="113"/>
      <c r="H9" s="2"/>
    </row>
    <row r="10" spans="1:8" x14ac:dyDescent="0.25">
      <c r="A10" s="2"/>
      <c r="B10" s="115" t="s">
        <v>164</v>
      </c>
      <c r="C10" s="116"/>
      <c r="D10" s="55">
        <v>0</v>
      </c>
      <c r="E10" s="23" t="s">
        <v>4</v>
      </c>
      <c r="F10" s="27">
        <v>0</v>
      </c>
      <c r="G10" s="23" t="s">
        <v>4</v>
      </c>
      <c r="H10" s="2"/>
    </row>
    <row r="11" spans="1:8" x14ac:dyDescent="0.25">
      <c r="A11" s="2"/>
      <c r="B11" s="91" t="s">
        <v>133</v>
      </c>
      <c r="C11" s="92"/>
      <c r="D11" s="21">
        <f>SUM(D10:D10)</f>
        <v>0</v>
      </c>
      <c r="E11" s="22" t="s">
        <v>4</v>
      </c>
      <c r="F11" s="21">
        <f>SUM(F10:F10)</f>
        <v>0</v>
      </c>
      <c r="G11" s="22" t="s">
        <v>4</v>
      </c>
      <c r="H11" s="2"/>
    </row>
    <row r="12" spans="1:8" x14ac:dyDescent="0.25">
      <c r="A12" s="2"/>
      <c r="B12" s="91" t="s">
        <v>145</v>
      </c>
      <c r="C12" s="93"/>
      <c r="D12" s="21">
        <f>D11*(1+'Fane 2.1. Økonomisk ramme 2018'!E18/100)</f>
        <v>0</v>
      </c>
      <c r="E12" s="22" t="s">
        <v>4</v>
      </c>
      <c r="F12" s="21">
        <f>F11*(1+'Fane 2.1. Økonomisk ramme 2018'!E18/100)</f>
        <v>0</v>
      </c>
      <c r="G12" s="22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91" t="s">
        <v>159</v>
      </c>
      <c r="C15" s="92"/>
      <c r="D15" s="92"/>
      <c r="E15" s="92"/>
      <c r="F15" s="92"/>
      <c r="G15" s="93"/>
      <c r="H15" s="2"/>
    </row>
    <row r="16" spans="1:8" ht="15" customHeight="1" x14ac:dyDescent="0.25">
      <c r="A16" s="2"/>
      <c r="B16" s="85" t="s">
        <v>176</v>
      </c>
      <c r="C16" s="86"/>
      <c r="D16" s="86"/>
      <c r="E16" s="87"/>
      <c r="F16" s="113" t="s">
        <v>160</v>
      </c>
      <c r="G16" s="113"/>
      <c r="H16" s="2"/>
    </row>
    <row r="17" spans="1:8" x14ac:dyDescent="0.25">
      <c r="A17" s="2"/>
      <c r="B17" s="95" t="s">
        <v>172</v>
      </c>
      <c r="C17" s="83"/>
      <c r="D17" s="83"/>
      <c r="E17" s="84"/>
      <c r="F17" s="27">
        <v>0</v>
      </c>
      <c r="G17" s="23" t="s">
        <v>4</v>
      </c>
      <c r="H17" s="2"/>
    </row>
    <row r="18" spans="1:8" x14ac:dyDescent="0.25">
      <c r="A18" s="2"/>
      <c r="B18" s="91" t="s">
        <v>161</v>
      </c>
      <c r="C18" s="92"/>
      <c r="D18" s="92"/>
      <c r="E18" s="93"/>
      <c r="F18" s="21">
        <f>SUM(F17:F17)</f>
        <v>0</v>
      </c>
      <c r="G18" s="22" t="s">
        <v>4</v>
      </c>
      <c r="H18" s="2"/>
    </row>
    <row r="19" spans="1:8" x14ac:dyDescent="0.25">
      <c r="A19" s="2"/>
      <c r="B19" s="91" t="s">
        <v>162</v>
      </c>
      <c r="C19" s="92"/>
      <c r="D19" s="92"/>
      <c r="E19" s="93"/>
      <c r="F19" s="21">
        <f>F18*(1+'Fane 2.1. Økonomisk ramme 2018'!E18/100)</f>
        <v>0</v>
      </c>
      <c r="G19" s="22" t="s">
        <v>4</v>
      </c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</sheetData>
  <sheetProtection password="DFE9" sheet="1" objects="1" scenarios="1"/>
  <mergeCells count="14">
    <mergeCell ref="B10:C10"/>
    <mergeCell ref="B3:G4"/>
    <mergeCell ref="B8:G8"/>
    <mergeCell ref="F9:G9"/>
    <mergeCell ref="B9:C9"/>
    <mergeCell ref="D9:E9"/>
    <mergeCell ref="B19:E19"/>
    <mergeCell ref="B15:G15"/>
    <mergeCell ref="F16:G16"/>
    <mergeCell ref="B12:C12"/>
    <mergeCell ref="B11:C11"/>
    <mergeCell ref="B16:E16"/>
    <mergeCell ref="B17:E17"/>
    <mergeCell ref="B18:E18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15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104" t="s">
        <v>118</v>
      </c>
      <c r="C3" s="104"/>
      <c r="D3" s="104"/>
      <c r="E3" s="104"/>
      <c r="F3" s="104"/>
      <c r="G3" s="104"/>
      <c r="H3" s="2"/>
    </row>
    <row r="4" spans="1:8" ht="25.5" customHeight="1" x14ac:dyDescent="0.25">
      <c r="A4" s="2"/>
      <c r="B4" s="104"/>
      <c r="C4" s="104"/>
      <c r="D4" s="104"/>
      <c r="E4" s="104"/>
      <c r="F4" s="104"/>
      <c r="G4" s="104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117</v>
      </c>
      <c r="C8" s="92"/>
      <c r="D8" s="92"/>
      <c r="E8" s="92"/>
      <c r="F8" s="92"/>
      <c r="G8" s="93"/>
      <c r="H8" s="2"/>
    </row>
    <row r="9" spans="1:8" ht="29.25" customHeight="1" x14ac:dyDescent="0.25">
      <c r="A9" s="2"/>
      <c r="B9" s="45" t="s">
        <v>119</v>
      </c>
      <c r="C9" s="46"/>
      <c r="D9" s="113" t="s">
        <v>47</v>
      </c>
      <c r="E9" s="113"/>
      <c r="F9" s="113" t="s">
        <v>127</v>
      </c>
      <c r="G9" s="113"/>
      <c r="H9" s="2"/>
    </row>
    <row r="10" spans="1:8" x14ac:dyDescent="0.25">
      <c r="A10" s="2"/>
      <c r="B10" s="35" t="s">
        <v>171</v>
      </c>
      <c r="C10" s="36"/>
      <c r="D10" s="27">
        <v>0</v>
      </c>
      <c r="E10" s="23" t="s">
        <v>4</v>
      </c>
      <c r="F10" s="27">
        <v>0</v>
      </c>
      <c r="G10" s="23" t="s">
        <v>4</v>
      </c>
      <c r="H10" s="2"/>
    </row>
    <row r="11" spans="1:8" x14ac:dyDescent="0.25">
      <c r="A11" s="2"/>
      <c r="B11" s="91" t="s">
        <v>128</v>
      </c>
      <c r="C11" s="93"/>
      <c r="D11" s="21">
        <f>-SUM(D10:D10)</f>
        <v>0</v>
      </c>
      <c r="E11" s="22" t="s">
        <v>4</v>
      </c>
      <c r="F11" s="21">
        <f>-SUM(F10:F10)</f>
        <v>0</v>
      </c>
      <c r="G11" s="22" t="s">
        <v>4</v>
      </c>
      <c r="H11" s="2"/>
    </row>
    <row r="12" spans="1:8" x14ac:dyDescent="0.25">
      <c r="A12" s="2"/>
      <c r="B12" s="91" t="s">
        <v>144</v>
      </c>
      <c r="C12" s="93"/>
      <c r="D12" s="21">
        <f>D11*(1+'Fane 2.1. Økonomisk ramme 2018'!E18/100)</f>
        <v>0</v>
      </c>
      <c r="E12" s="22" t="s">
        <v>4</v>
      </c>
      <c r="F12" s="21">
        <f>F11*(1+'Fane 2.1. Økonomisk ramme 2018'!E18/100)</f>
        <v>0</v>
      </c>
      <c r="G12" s="22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</sheetData>
  <sheetProtection password="DFE9" sheet="1" objects="1" scenarios="1"/>
  <mergeCells count="6">
    <mergeCell ref="B12:C12"/>
    <mergeCell ref="B3:G4"/>
    <mergeCell ref="B8:G8"/>
    <mergeCell ref="F9:G9"/>
    <mergeCell ref="D9:E9"/>
    <mergeCell ref="B11: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38"/>
  <sheetViews>
    <sheetView showGridLines="0" view="pageLayout" zoomScaleNormal="100" workbookViewId="0"/>
  </sheetViews>
  <sheetFormatPr defaultColWidth="9.140625" defaultRowHeight="15" x14ac:dyDescent="0.25"/>
  <cols>
    <col min="1" max="1" width="6.5703125" style="3" customWidth="1"/>
    <col min="2" max="3" width="9.140625" style="3"/>
    <col min="4" max="4" width="27.140625" style="3" customWidth="1"/>
    <col min="5" max="5" width="10.28515625" style="3" customWidth="1"/>
    <col min="6" max="6" width="3.85546875" style="3" customWidth="1"/>
    <col min="7" max="7" width="12.28515625" style="3" customWidth="1"/>
    <col min="8" max="8" width="3.28515625" style="3" customWidth="1"/>
    <col min="9" max="9" width="4.71093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4" t="s">
        <v>109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56</v>
      </c>
      <c r="C8" s="92"/>
      <c r="D8" s="92"/>
      <c r="E8" s="92"/>
      <c r="F8" s="92"/>
      <c r="G8" s="92"/>
      <c r="H8" s="93"/>
      <c r="I8" s="2"/>
    </row>
    <row r="9" spans="1:9" ht="15" customHeight="1" x14ac:dyDescent="0.25">
      <c r="A9" s="2"/>
      <c r="B9" s="88" t="s">
        <v>60</v>
      </c>
      <c r="C9" s="89"/>
      <c r="D9" s="90"/>
      <c r="E9" s="8">
        <f>'Fane 3. Korrigeret grundlag'!G12</f>
        <v>43868433.730654702</v>
      </c>
      <c r="F9" s="9" t="s">
        <v>4</v>
      </c>
      <c r="G9" s="10"/>
      <c r="H9" s="11"/>
      <c r="I9" s="2"/>
    </row>
    <row r="10" spans="1:9" x14ac:dyDescent="0.25">
      <c r="A10" s="2"/>
      <c r="B10" s="82" t="s">
        <v>46</v>
      </c>
      <c r="C10" s="83"/>
      <c r="D10" s="84"/>
      <c r="E10" s="12">
        <f>'Fane 3. Korrigeret grundlag'!G11</f>
        <v>5253734.6575901192</v>
      </c>
      <c r="F10" s="9" t="s">
        <v>4</v>
      </c>
      <c r="G10" s="13"/>
      <c r="H10" s="14"/>
      <c r="I10" s="2"/>
    </row>
    <row r="11" spans="1:9" x14ac:dyDescent="0.25">
      <c r="A11" s="2"/>
      <c r="B11" s="82" t="s">
        <v>121</v>
      </c>
      <c r="C11" s="83"/>
      <c r="D11" s="84"/>
      <c r="E11" s="12">
        <f>'Fane 4. Ikke-påvirkelige omk.'!G19</f>
        <v>316520.87232699955</v>
      </c>
      <c r="F11" s="9" t="s">
        <v>4</v>
      </c>
      <c r="G11" s="13"/>
      <c r="H11" s="14"/>
      <c r="I11" s="2"/>
    </row>
    <row r="12" spans="1:9" x14ac:dyDescent="0.25">
      <c r="A12" s="2"/>
      <c r="B12" s="51" t="s">
        <v>174</v>
      </c>
      <c r="C12" s="49"/>
      <c r="D12" s="50"/>
      <c r="E12" s="12">
        <f>'Fane 5. Individuelt eff.krav'!G10</f>
        <v>-468526.63866671431</v>
      </c>
      <c r="F12" s="9" t="s">
        <v>4</v>
      </c>
      <c r="G12" s="13"/>
      <c r="H12" s="14"/>
      <c r="I12" s="2"/>
    </row>
    <row r="13" spans="1:9" x14ac:dyDescent="0.25">
      <c r="A13" s="2"/>
      <c r="B13" s="88" t="s">
        <v>129</v>
      </c>
      <c r="C13" s="89"/>
      <c r="D13" s="90"/>
      <c r="E13" s="12">
        <f>'Fane 11. Tillæg'!$D$12</f>
        <v>0</v>
      </c>
      <c r="F13" s="9" t="s">
        <v>4</v>
      </c>
      <c r="G13" s="13"/>
      <c r="H13" s="14"/>
      <c r="I13" s="2"/>
    </row>
    <row r="14" spans="1:9" x14ac:dyDescent="0.25">
      <c r="A14" s="2"/>
      <c r="B14" s="88" t="s">
        <v>130</v>
      </c>
      <c r="C14" s="89"/>
      <c r="D14" s="90"/>
      <c r="E14" s="12">
        <f>'Fane 11. Tillæg'!$F$12</f>
        <v>0</v>
      </c>
      <c r="F14" s="9" t="s">
        <v>4</v>
      </c>
      <c r="G14" s="13"/>
      <c r="H14" s="14"/>
      <c r="I14" s="2"/>
    </row>
    <row r="15" spans="1:9" x14ac:dyDescent="0.25">
      <c r="A15" s="2"/>
      <c r="B15" s="88" t="s">
        <v>159</v>
      </c>
      <c r="C15" s="89"/>
      <c r="D15" s="90"/>
      <c r="E15" s="12">
        <f>'Fane 11. Tillæg'!F19</f>
        <v>0</v>
      </c>
      <c r="F15" s="9" t="s">
        <v>4</v>
      </c>
      <c r="G15" s="13"/>
      <c r="H15" s="14"/>
      <c r="I15" s="2"/>
    </row>
    <row r="16" spans="1:9" x14ac:dyDescent="0.25">
      <c r="A16" s="2"/>
      <c r="B16" s="88" t="s">
        <v>131</v>
      </c>
      <c r="C16" s="89"/>
      <c r="D16" s="90"/>
      <c r="E16" s="12">
        <f>'Fane 12. Bortfald'!$D$12</f>
        <v>0</v>
      </c>
      <c r="F16" s="9" t="s">
        <v>4</v>
      </c>
      <c r="G16" s="13"/>
      <c r="H16" s="14"/>
      <c r="I16" s="2"/>
    </row>
    <row r="17" spans="1:9" x14ac:dyDescent="0.25">
      <c r="A17" s="2"/>
      <c r="B17" s="88" t="s">
        <v>132</v>
      </c>
      <c r="C17" s="89"/>
      <c r="D17" s="90"/>
      <c r="E17" s="12">
        <f>'Fane 12. Bortfald'!$F$12</f>
        <v>0</v>
      </c>
      <c r="F17" s="9" t="s">
        <v>4</v>
      </c>
      <c r="G17" s="13"/>
      <c r="H17" s="14"/>
      <c r="I17" s="2"/>
    </row>
    <row r="18" spans="1:9" x14ac:dyDescent="0.25">
      <c r="A18" s="2"/>
      <c r="B18" s="34" t="s">
        <v>124</v>
      </c>
      <c r="C18" s="32"/>
      <c r="D18" s="33"/>
      <c r="E18" s="30">
        <v>1.75</v>
      </c>
      <c r="F18" s="9" t="s">
        <v>38</v>
      </c>
      <c r="G18" s="13"/>
      <c r="H18" s="14"/>
      <c r="I18" s="2"/>
    </row>
    <row r="19" spans="1:9" x14ac:dyDescent="0.25">
      <c r="A19" s="2"/>
      <c r="B19" s="82" t="s">
        <v>123</v>
      </c>
      <c r="C19" s="83"/>
      <c r="D19" s="84"/>
      <c r="E19" s="12">
        <f>SUM(E9,E11:E17)*(E18/100)</f>
        <v>765037.48937551235</v>
      </c>
      <c r="F19" s="9" t="s">
        <v>4</v>
      </c>
      <c r="G19" s="13"/>
      <c r="H19" s="14"/>
      <c r="I19" s="2"/>
    </row>
    <row r="20" spans="1:9" x14ac:dyDescent="0.25">
      <c r="A20" s="2"/>
      <c r="B20" s="95" t="s">
        <v>15</v>
      </c>
      <c r="C20" s="83"/>
      <c r="D20" s="84"/>
      <c r="E20" s="12">
        <f>'Fane 5. Individuelt eff.krav'!G12</f>
        <v>142305.39162205471</v>
      </c>
      <c r="F20" s="9" t="s">
        <v>4</v>
      </c>
      <c r="G20" s="15"/>
      <c r="H20" s="14"/>
      <c r="I20" s="2"/>
    </row>
    <row r="21" spans="1:9" x14ac:dyDescent="0.25">
      <c r="A21" s="2"/>
      <c r="B21" s="95" t="s">
        <v>16</v>
      </c>
      <c r="C21" s="83"/>
      <c r="D21" s="84"/>
      <c r="E21" s="12">
        <f>'Fane 6. Generelt eff.krav'!G17</f>
        <v>710688.34330150054</v>
      </c>
      <c r="F21" s="9" t="s">
        <v>4</v>
      </c>
      <c r="G21" s="16"/>
      <c r="H21" s="17"/>
      <c r="I21" s="2"/>
    </row>
    <row r="22" spans="1:9" x14ac:dyDescent="0.25">
      <c r="A22" s="2"/>
      <c r="B22" s="96" t="s">
        <v>165</v>
      </c>
      <c r="C22" s="97"/>
      <c r="D22" s="98"/>
      <c r="E22" s="18">
        <f>SUM(E9,E11:E17,E19)-SUM(E20:E21)</f>
        <v>43628471.718766943</v>
      </c>
      <c r="F22" s="19" t="s">
        <v>4</v>
      </c>
      <c r="G22" s="18">
        <f>E22</f>
        <v>43628471.718766943</v>
      </c>
      <c r="H22" s="19" t="s">
        <v>4</v>
      </c>
      <c r="I22" s="2"/>
    </row>
    <row r="23" spans="1:9" x14ac:dyDescent="0.25">
      <c r="A23" s="2"/>
      <c r="B23" s="91" t="s">
        <v>17</v>
      </c>
      <c r="C23" s="92"/>
      <c r="D23" s="92"/>
      <c r="E23" s="92"/>
      <c r="F23" s="92"/>
      <c r="G23" s="92"/>
      <c r="H23" s="93"/>
      <c r="I23" s="2"/>
    </row>
    <row r="24" spans="1:9" x14ac:dyDescent="0.25">
      <c r="A24" s="2"/>
      <c r="B24" s="85" t="s">
        <v>55</v>
      </c>
      <c r="C24" s="86"/>
      <c r="D24" s="87"/>
      <c r="E24" s="18">
        <f>'Fane 7. Hist. over el. underdæk'!G13</f>
        <v>-1779332.621693122</v>
      </c>
      <c r="F24" s="19" t="s">
        <v>4</v>
      </c>
      <c r="G24" s="18">
        <f>E24</f>
        <v>-1779332.621693122</v>
      </c>
      <c r="H24" s="19" t="s">
        <v>4</v>
      </c>
      <c r="I24" s="2"/>
    </row>
    <row r="25" spans="1:9" x14ac:dyDescent="0.25">
      <c r="A25" s="2"/>
      <c r="B25" s="91" t="s">
        <v>98</v>
      </c>
      <c r="C25" s="92"/>
      <c r="D25" s="92"/>
      <c r="E25" s="92"/>
      <c r="F25" s="92"/>
      <c r="G25" s="92"/>
      <c r="H25" s="93"/>
      <c r="I25" s="2"/>
    </row>
    <row r="26" spans="1:9" x14ac:dyDescent="0.25">
      <c r="A26" s="2"/>
      <c r="B26" s="88" t="s">
        <v>105</v>
      </c>
      <c r="C26" s="89"/>
      <c r="D26" s="90"/>
      <c r="E26" s="12">
        <f>'Fane 9. Korrektion af PL2016'!G11</f>
        <v>469130</v>
      </c>
      <c r="F26" s="9" t="s">
        <v>4</v>
      </c>
      <c r="G26" s="20"/>
      <c r="H26" s="11"/>
      <c r="I26" s="2"/>
    </row>
    <row r="27" spans="1:9" x14ac:dyDescent="0.25">
      <c r="A27" s="2"/>
      <c r="B27" s="88" t="s">
        <v>99</v>
      </c>
      <c r="C27" s="89"/>
      <c r="D27" s="90"/>
      <c r="E27" s="12">
        <f>'Fane 9. Korrektion af PL2016'!G17</f>
        <v>189723</v>
      </c>
      <c r="F27" s="9" t="s">
        <v>4</v>
      </c>
      <c r="G27" s="15"/>
      <c r="H27" s="14"/>
      <c r="I27" s="2"/>
    </row>
    <row r="28" spans="1:9" ht="30" customHeight="1" x14ac:dyDescent="0.25">
      <c r="A28" s="2"/>
      <c r="B28" s="88" t="s">
        <v>100</v>
      </c>
      <c r="C28" s="89"/>
      <c r="D28" s="90"/>
      <c r="E28" s="12">
        <f>'Fane 9. Korrektion af PL2016'!G23</f>
        <v>-20423</v>
      </c>
      <c r="F28" s="9" t="s">
        <v>4</v>
      </c>
      <c r="G28" s="13"/>
      <c r="H28" s="14"/>
      <c r="I28" s="2"/>
    </row>
    <row r="29" spans="1:9" ht="30" customHeight="1" x14ac:dyDescent="0.25">
      <c r="A29" s="2"/>
      <c r="B29" s="88" t="s">
        <v>101</v>
      </c>
      <c r="C29" s="89"/>
      <c r="D29" s="90"/>
      <c r="E29" s="12">
        <f>'Fane 9. Korrektion af PL2016'!G29</f>
        <v>0</v>
      </c>
      <c r="F29" s="9" t="s">
        <v>4</v>
      </c>
      <c r="G29" s="15"/>
      <c r="H29" s="14"/>
      <c r="I29" s="2"/>
    </row>
    <row r="30" spans="1:9" ht="28.5" customHeight="1" x14ac:dyDescent="0.25">
      <c r="A30" s="2"/>
      <c r="B30" s="88" t="s">
        <v>102</v>
      </c>
      <c r="C30" s="89"/>
      <c r="D30" s="90"/>
      <c r="E30" s="12">
        <f>'Fane 9. Korrektion af PL2016'!G35</f>
        <v>-498038.63999999996</v>
      </c>
      <c r="F30" s="9" t="s">
        <v>4</v>
      </c>
      <c r="G30" s="15"/>
      <c r="H30" s="14"/>
      <c r="I30" s="2"/>
    </row>
    <row r="31" spans="1:9" x14ac:dyDescent="0.25">
      <c r="A31" s="2"/>
      <c r="B31" s="85" t="s">
        <v>103</v>
      </c>
      <c r="C31" s="86"/>
      <c r="D31" s="87"/>
      <c r="E31" s="18">
        <f>SUM(E26:E30)</f>
        <v>140391.36000000004</v>
      </c>
      <c r="F31" s="19" t="s">
        <v>4</v>
      </c>
      <c r="G31" s="18">
        <f>E31</f>
        <v>140391.36000000004</v>
      </c>
      <c r="H31" s="19" t="s">
        <v>4</v>
      </c>
      <c r="I31" s="2"/>
    </row>
    <row r="32" spans="1:9" x14ac:dyDescent="0.25">
      <c r="A32" s="2"/>
      <c r="B32" s="91" t="s">
        <v>18</v>
      </c>
      <c r="C32" s="92"/>
      <c r="D32" s="92"/>
      <c r="E32" s="92"/>
      <c r="F32" s="92"/>
      <c r="G32" s="92"/>
      <c r="H32" s="93"/>
      <c r="I32" s="2"/>
    </row>
    <row r="33" spans="1:9" x14ac:dyDescent="0.25">
      <c r="A33" s="2"/>
      <c r="B33" s="85" t="s">
        <v>104</v>
      </c>
      <c r="C33" s="86"/>
      <c r="D33" s="87"/>
      <c r="E33" s="18">
        <f>'Fane 10. Kontrol af PL2016'!G36</f>
        <v>7223141.1868439838</v>
      </c>
      <c r="F33" s="19" t="s">
        <v>4</v>
      </c>
      <c r="G33" s="18">
        <f>E33</f>
        <v>7223141.1868439838</v>
      </c>
      <c r="H33" s="19" t="s">
        <v>4</v>
      </c>
      <c r="I33" s="2"/>
    </row>
    <row r="34" spans="1:9" x14ac:dyDescent="0.25">
      <c r="A34" s="2"/>
      <c r="B34" s="91" t="s">
        <v>62</v>
      </c>
      <c r="C34" s="92"/>
      <c r="D34" s="92"/>
      <c r="E34" s="92"/>
      <c r="F34" s="93"/>
      <c r="G34" s="21">
        <f>G22+G24+G31+G33</f>
        <v>49212671.643917806</v>
      </c>
      <c r="H34" s="22" t="s">
        <v>4</v>
      </c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</sheetData>
  <sheetProtection password="DFE9" sheet="1" objects="1" scenarios="1"/>
  <mergeCells count="26">
    <mergeCell ref="B3:H4"/>
    <mergeCell ref="B9:D9"/>
    <mergeCell ref="B20:D20"/>
    <mergeCell ref="B33:D33"/>
    <mergeCell ref="B21:D21"/>
    <mergeCell ref="B10:D10"/>
    <mergeCell ref="B22:D22"/>
    <mergeCell ref="B24:D24"/>
    <mergeCell ref="B27:D27"/>
    <mergeCell ref="B29:D29"/>
    <mergeCell ref="B30:D30"/>
    <mergeCell ref="B32:H32"/>
    <mergeCell ref="B25:H25"/>
    <mergeCell ref="B23:H23"/>
    <mergeCell ref="B26:D26"/>
    <mergeCell ref="B8:H8"/>
    <mergeCell ref="B11:D11"/>
    <mergeCell ref="B31:D31"/>
    <mergeCell ref="B28:D28"/>
    <mergeCell ref="B34:F34"/>
    <mergeCell ref="B19:D19"/>
    <mergeCell ref="B13:D13"/>
    <mergeCell ref="B14:D14"/>
    <mergeCell ref="B16:D16"/>
    <mergeCell ref="B17:D17"/>
    <mergeCell ref="B15:D1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I21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28515625" style="3" customWidth="1"/>
    <col min="6" max="6" width="3.28515625" style="3" customWidth="1"/>
    <col min="7" max="7" width="11.2851562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4" t="s">
        <v>108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56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88" t="s">
        <v>106</v>
      </c>
      <c r="C9" s="89"/>
      <c r="D9" s="90"/>
      <c r="E9" s="8">
        <f>'Fane 2.1. Økonomisk ramme 2018'!G22</f>
        <v>43628471.718766943</v>
      </c>
      <c r="F9" s="9" t="s">
        <v>4</v>
      </c>
      <c r="G9" s="10"/>
      <c r="H9" s="11"/>
      <c r="I9" s="2"/>
    </row>
    <row r="10" spans="1:9" x14ac:dyDescent="0.25">
      <c r="A10" s="2"/>
      <c r="B10" s="82" t="s">
        <v>46</v>
      </c>
      <c r="C10" s="99"/>
      <c r="D10" s="100"/>
      <c r="E10" s="12">
        <f>(SUM('Fane 2.1. Økonomisk ramme 2018'!E10:E11,'Fane 2.1. Økonomisk ramme 2018'!E15))*(1+'Fane 2.1. Økonomisk ramme 2018'!E18/100)</f>
        <v>5667735.001690669</v>
      </c>
      <c r="F10" s="9" t="s">
        <v>4</v>
      </c>
      <c r="G10" s="13"/>
      <c r="H10" s="14"/>
      <c r="I10" s="2"/>
    </row>
    <row r="11" spans="1:9" x14ac:dyDescent="0.25">
      <c r="A11" s="2"/>
      <c r="B11" s="95" t="s">
        <v>61</v>
      </c>
      <c r="C11" s="83"/>
      <c r="D11" s="84"/>
      <c r="E11" s="12">
        <f>$E$9*'Fane 2.1. Økonomisk ramme 2018'!E18/100</f>
        <v>763498.25507842156</v>
      </c>
      <c r="F11" s="9" t="s">
        <v>4</v>
      </c>
      <c r="G11" s="15"/>
      <c r="H11" s="14"/>
      <c r="I11" s="2"/>
    </row>
    <row r="12" spans="1:9" x14ac:dyDescent="0.25">
      <c r="A12" s="2"/>
      <c r="B12" s="95" t="s">
        <v>15</v>
      </c>
      <c r="C12" s="83"/>
      <c r="D12" s="84"/>
      <c r="E12" s="12">
        <f>($E$9-$E$10)*(1+'Fane 2.1. Økonomisk ramme 2018'!E18/100)*'Fane 5. Individuelt eff.krav'!$G$11/100</f>
        <v>141613.61835385725</v>
      </c>
      <c r="F12" s="9" t="s">
        <v>4</v>
      </c>
      <c r="G12" s="15"/>
      <c r="H12" s="14"/>
      <c r="I12" s="2"/>
    </row>
    <row r="13" spans="1:9" x14ac:dyDescent="0.25">
      <c r="A13" s="2"/>
      <c r="B13" s="31" t="s">
        <v>16</v>
      </c>
      <c r="C13" s="32"/>
      <c r="D13" s="33"/>
      <c r="E13" s="12">
        <f>(('Fane 6. Generelt eff.krav'!G12/('Fane 6. Generelt eff.krav'!G11/100)-'Fane 6. Generelt eff.krav'!G12))*(1+'Fane 2.1. Økonomisk ramme 2018'!E18/100)*'Fane 6. Generelt eff.krav'!G11/100+(('Fane 6. Generelt eff.krav'!G16/('Fane 6. Generelt eff.krav'!G15/100))-'Fane 6. Generelt eff.krav'!G16)*(1+'Fane 2.1. Økonomisk ramme 2018'!E18/100)*'Fane 6. Generelt eff.krav'!G15/100</f>
        <v>709844.07377247512</v>
      </c>
      <c r="F13" s="9" t="s">
        <v>4</v>
      </c>
      <c r="G13" s="16"/>
      <c r="H13" s="17"/>
      <c r="I13" s="2"/>
    </row>
    <row r="14" spans="1:9" x14ac:dyDescent="0.25">
      <c r="A14" s="2"/>
      <c r="B14" s="96" t="s">
        <v>165</v>
      </c>
      <c r="C14" s="97"/>
      <c r="D14" s="98"/>
      <c r="E14" s="18">
        <f>$E$9+$E$11-$E$12-$E$13</f>
        <v>43540512.281719029</v>
      </c>
      <c r="F14" s="19" t="s">
        <v>4</v>
      </c>
      <c r="G14" s="18">
        <f>E14</f>
        <v>43540512.281719029</v>
      </c>
      <c r="H14" s="19" t="s">
        <v>4</v>
      </c>
      <c r="I14" s="2"/>
    </row>
    <row r="15" spans="1:9" x14ac:dyDescent="0.25">
      <c r="A15" s="2"/>
      <c r="B15" s="91" t="s">
        <v>17</v>
      </c>
      <c r="C15" s="92"/>
      <c r="D15" s="92"/>
      <c r="E15" s="92"/>
      <c r="F15" s="92"/>
      <c r="G15" s="92"/>
      <c r="H15" s="93"/>
      <c r="I15" s="2"/>
    </row>
    <row r="16" spans="1:9" ht="15" customHeight="1" x14ac:dyDescent="0.25">
      <c r="A16" s="2"/>
      <c r="B16" s="85" t="s">
        <v>55</v>
      </c>
      <c r="C16" s="86"/>
      <c r="D16" s="87"/>
      <c r="E16" s="18">
        <f>IF('Fane 7. Hist. over el. underdæk'!$G$12&gt;1,'Fane 7. Hist. over el. underdæk'!$G$13,0)</f>
        <v>-1779332.621693122</v>
      </c>
      <c r="F16" s="19" t="s">
        <v>4</v>
      </c>
      <c r="G16" s="18">
        <f>E16</f>
        <v>-1779332.621693122</v>
      </c>
      <c r="H16" s="19" t="s">
        <v>4</v>
      </c>
      <c r="I16" s="2"/>
    </row>
    <row r="17" spans="1:9" x14ac:dyDescent="0.25">
      <c r="A17" s="2"/>
      <c r="B17" s="91" t="s">
        <v>107</v>
      </c>
      <c r="C17" s="92"/>
      <c r="D17" s="92"/>
      <c r="E17" s="92"/>
      <c r="F17" s="93"/>
      <c r="G17" s="21">
        <f>G14+G16</f>
        <v>41761179.66002591</v>
      </c>
      <c r="H17" s="22" t="s">
        <v>4</v>
      </c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</sheetData>
  <sheetProtection password="DFE9" sheet="1" objects="1" scenarios="1"/>
  <mergeCells count="10">
    <mergeCell ref="B17:F17"/>
    <mergeCell ref="B3:H4"/>
    <mergeCell ref="B8:H8"/>
    <mergeCell ref="B9:D9"/>
    <mergeCell ref="B10:D10"/>
    <mergeCell ref="B11:D11"/>
    <mergeCell ref="B12:D12"/>
    <mergeCell ref="B14:D14"/>
    <mergeCell ref="B15:H15"/>
    <mergeCell ref="B16:D16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1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57031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104" t="s">
        <v>139</v>
      </c>
      <c r="C3" s="104"/>
      <c r="D3" s="104"/>
      <c r="E3" s="104"/>
      <c r="F3" s="104"/>
      <c r="G3" s="104"/>
      <c r="H3" s="104"/>
      <c r="I3" s="2"/>
    </row>
    <row r="4" spans="1:9" ht="29.25" customHeight="1" x14ac:dyDescent="0.25">
      <c r="A4" s="2"/>
      <c r="B4" s="104"/>
      <c r="C4" s="104"/>
      <c r="D4" s="104"/>
      <c r="E4" s="104"/>
      <c r="F4" s="104"/>
      <c r="G4" s="104"/>
      <c r="H4" s="10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141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95" t="s">
        <v>110</v>
      </c>
      <c r="C9" s="83"/>
      <c r="D9" s="83"/>
      <c r="E9" s="83"/>
      <c r="F9" s="84"/>
      <c r="G9" s="27">
        <v>10327395.817690685</v>
      </c>
      <c r="H9" s="23" t="s">
        <v>4</v>
      </c>
      <c r="I9" s="2"/>
    </row>
    <row r="10" spans="1:9" x14ac:dyDescent="0.25">
      <c r="A10" s="2"/>
      <c r="B10" s="95" t="s">
        <v>111</v>
      </c>
      <c r="C10" s="83"/>
      <c r="D10" s="83"/>
      <c r="E10" s="83"/>
      <c r="F10" s="84"/>
      <c r="G10" s="27">
        <v>28287303.255373891</v>
      </c>
      <c r="H10" s="23" t="s">
        <v>4</v>
      </c>
      <c r="I10" s="2"/>
    </row>
    <row r="11" spans="1:9" x14ac:dyDescent="0.25">
      <c r="A11" s="2"/>
      <c r="B11" s="95" t="s">
        <v>138</v>
      </c>
      <c r="C11" s="83"/>
      <c r="D11" s="83"/>
      <c r="E11" s="83"/>
      <c r="F11" s="84"/>
      <c r="G11" s="27">
        <v>5253734.6575901192</v>
      </c>
      <c r="H11" s="23" t="s">
        <v>4</v>
      </c>
      <c r="I11" s="2"/>
    </row>
    <row r="12" spans="1:9" ht="17.25" customHeight="1" x14ac:dyDescent="0.25">
      <c r="A12" s="2"/>
      <c r="B12" s="101" t="s">
        <v>143</v>
      </c>
      <c r="C12" s="102"/>
      <c r="D12" s="102"/>
      <c r="E12" s="102"/>
      <c r="F12" s="103"/>
      <c r="G12" s="21">
        <f>SUM(G9:G11)</f>
        <v>43868433.730654702</v>
      </c>
      <c r="H12" s="22" t="s">
        <v>4</v>
      </c>
      <c r="I12" s="2"/>
    </row>
    <row r="13" spans="1:9" x14ac:dyDescent="0.25">
      <c r="A13" s="2"/>
      <c r="B13" s="24"/>
      <c r="C13" s="24"/>
      <c r="D13" s="24"/>
      <c r="E13" s="24"/>
      <c r="F13" s="24"/>
      <c r="G13" s="24"/>
      <c r="H13" s="24"/>
      <c r="I13" s="2"/>
    </row>
    <row r="14" spans="1:9" x14ac:dyDescent="0.25">
      <c r="A14" s="2"/>
      <c r="B14" s="25" t="s">
        <v>50</v>
      </c>
      <c r="C14" s="24"/>
      <c r="D14" s="24"/>
      <c r="E14" s="24"/>
      <c r="F14" s="24"/>
      <c r="G14" s="24"/>
      <c r="H14" s="24"/>
      <c r="I14" s="2"/>
    </row>
    <row r="15" spans="1:9" x14ac:dyDescent="0.25">
      <c r="A15" s="2"/>
      <c r="B15" s="25" t="s">
        <v>136</v>
      </c>
      <c r="C15" s="24"/>
      <c r="D15" s="24"/>
      <c r="E15" s="24"/>
      <c r="F15" s="24"/>
      <c r="G15" s="24"/>
      <c r="H15" s="24"/>
      <c r="I15" s="2"/>
    </row>
    <row r="16" spans="1:9" x14ac:dyDescent="0.25">
      <c r="A16" s="2"/>
      <c r="B16" s="25" t="s">
        <v>137</v>
      </c>
      <c r="C16" s="2"/>
      <c r="D16" s="2"/>
      <c r="E16" s="2"/>
      <c r="F16" s="2"/>
      <c r="G16" s="24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</sheetData>
  <sheetProtection password="DFE9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24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21.140625" style="3" customWidth="1"/>
    <col min="5" max="5" width="12" style="3" customWidth="1"/>
    <col min="6" max="6" width="3.28515625" style="3" customWidth="1"/>
    <col min="7" max="7" width="12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4" t="s">
        <v>112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113</v>
      </c>
      <c r="C8" s="92"/>
      <c r="D8" s="92"/>
      <c r="E8" s="92"/>
      <c r="F8" s="92"/>
      <c r="G8" s="92"/>
      <c r="H8" s="93"/>
      <c r="I8" s="2"/>
    </row>
    <row r="9" spans="1:9" ht="51.75" customHeight="1" x14ac:dyDescent="0.25">
      <c r="A9" s="2"/>
      <c r="B9" s="85" t="s">
        <v>115</v>
      </c>
      <c r="C9" s="86"/>
      <c r="D9" s="87"/>
      <c r="E9" s="19" t="s">
        <v>114</v>
      </c>
      <c r="F9" s="19"/>
      <c r="G9" s="19" t="s">
        <v>140</v>
      </c>
      <c r="H9" s="19"/>
      <c r="I9" s="2"/>
    </row>
    <row r="10" spans="1:9" x14ac:dyDescent="0.25">
      <c r="A10" s="2"/>
      <c r="B10" s="105" t="s">
        <v>151</v>
      </c>
      <c r="C10" s="106"/>
      <c r="D10" s="106"/>
      <c r="E10" s="56">
        <v>0</v>
      </c>
      <c r="F10" s="23" t="s">
        <v>4</v>
      </c>
      <c r="G10" s="27">
        <v>0</v>
      </c>
      <c r="H10" s="23" t="s">
        <v>4</v>
      </c>
      <c r="I10" s="2"/>
    </row>
    <row r="11" spans="1:9" x14ac:dyDescent="0.25">
      <c r="A11" s="2"/>
      <c r="B11" s="105" t="s">
        <v>152</v>
      </c>
      <c r="C11" s="106"/>
      <c r="D11" s="106"/>
      <c r="E11" s="56">
        <v>116617.16439999999</v>
      </c>
      <c r="F11" s="23" t="s">
        <v>4</v>
      </c>
      <c r="G11" s="27">
        <v>119517</v>
      </c>
      <c r="H11" s="23" t="s">
        <v>4</v>
      </c>
      <c r="I11" s="2"/>
    </row>
    <row r="12" spans="1:9" x14ac:dyDescent="0.25">
      <c r="A12" s="2"/>
      <c r="B12" s="105" t="s">
        <v>153</v>
      </c>
      <c r="C12" s="106"/>
      <c r="D12" s="106"/>
      <c r="E12" s="56">
        <v>861819.59340000001</v>
      </c>
      <c r="F12" s="23" t="s">
        <v>4</v>
      </c>
      <c r="G12" s="27">
        <v>1134447</v>
      </c>
      <c r="H12" s="23" t="s">
        <v>4</v>
      </c>
      <c r="I12" s="2"/>
    </row>
    <row r="13" spans="1:9" x14ac:dyDescent="0.25">
      <c r="A13" s="2"/>
      <c r="B13" s="105" t="s">
        <v>154</v>
      </c>
      <c r="C13" s="106"/>
      <c r="D13" s="106"/>
      <c r="E13" s="56">
        <v>32399.4126</v>
      </c>
      <c r="F13" s="23" t="s">
        <v>4</v>
      </c>
      <c r="G13" s="27">
        <v>39840</v>
      </c>
      <c r="H13" s="23" t="s">
        <v>4</v>
      </c>
      <c r="I13" s="2"/>
    </row>
    <row r="14" spans="1:9" x14ac:dyDescent="0.25">
      <c r="A14" s="2"/>
      <c r="B14" s="105" t="s">
        <v>155</v>
      </c>
      <c r="C14" s="106"/>
      <c r="D14" s="106"/>
      <c r="E14" s="56">
        <v>0</v>
      </c>
      <c r="F14" s="23" t="s">
        <v>4</v>
      </c>
      <c r="G14" s="27">
        <v>0</v>
      </c>
      <c r="H14" s="23" t="s">
        <v>4</v>
      </c>
      <c r="I14" s="2"/>
    </row>
    <row r="15" spans="1:9" x14ac:dyDescent="0.25">
      <c r="A15" s="2"/>
      <c r="B15" s="105" t="s">
        <v>156</v>
      </c>
      <c r="C15" s="106"/>
      <c r="D15" s="106"/>
      <c r="E15" s="56">
        <v>186896.0858</v>
      </c>
      <c r="F15" s="23" t="s">
        <v>4</v>
      </c>
      <c r="G15" s="27">
        <v>192830</v>
      </c>
      <c r="H15" s="23" t="s">
        <v>4</v>
      </c>
      <c r="I15" s="2"/>
    </row>
    <row r="16" spans="1:9" x14ac:dyDescent="0.25">
      <c r="A16" s="2"/>
      <c r="B16" s="105" t="s">
        <v>157</v>
      </c>
      <c r="C16" s="106"/>
      <c r="D16" s="106"/>
      <c r="E16" s="56">
        <v>3990116.7193999998</v>
      </c>
      <c r="F16" s="23" t="s">
        <v>4</v>
      </c>
      <c r="G16" s="27">
        <v>4012292</v>
      </c>
      <c r="H16" s="23" t="s">
        <v>4</v>
      </c>
      <c r="I16" s="2"/>
    </row>
    <row r="17" spans="1:9" x14ac:dyDescent="0.25">
      <c r="A17" s="2"/>
      <c r="B17" s="105" t="s">
        <v>158</v>
      </c>
      <c r="C17" s="106"/>
      <c r="D17" s="106"/>
      <c r="E17" s="56">
        <v>0</v>
      </c>
      <c r="F17" s="23" t="s">
        <v>4</v>
      </c>
      <c r="G17" s="27">
        <v>0</v>
      </c>
      <c r="H17" s="23" t="s">
        <v>4</v>
      </c>
      <c r="I17" s="2"/>
    </row>
    <row r="18" spans="1:9" x14ac:dyDescent="0.25">
      <c r="A18" s="2"/>
      <c r="B18" s="91" t="s">
        <v>134</v>
      </c>
      <c r="C18" s="92"/>
      <c r="D18" s="92"/>
      <c r="E18" s="92"/>
      <c r="F18" s="93"/>
      <c r="G18" s="21">
        <f>SUM(G10:G17)-SUM(E10:E17)</f>
        <v>311077.02439999953</v>
      </c>
      <c r="H18" s="22" t="s">
        <v>4</v>
      </c>
      <c r="I18" s="2"/>
    </row>
    <row r="19" spans="1:9" x14ac:dyDescent="0.25">
      <c r="A19" s="2"/>
      <c r="B19" s="91" t="s">
        <v>135</v>
      </c>
      <c r="C19" s="92"/>
      <c r="D19" s="92"/>
      <c r="E19" s="92"/>
      <c r="F19" s="93"/>
      <c r="G19" s="21">
        <f>G18*(1+'Fane 2.1. Økonomisk ramme 2018'!E18/100)</f>
        <v>316520.87232699955</v>
      </c>
      <c r="H19" s="22" t="s">
        <v>4</v>
      </c>
      <c r="I19" s="2"/>
    </row>
    <row r="20" spans="1:9" x14ac:dyDescent="0.25">
      <c r="A20" s="2"/>
      <c r="B20" s="25"/>
      <c r="C20" s="24"/>
      <c r="D20" s="24"/>
      <c r="E20" s="24"/>
      <c r="F20" s="24"/>
      <c r="G20" s="24"/>
      <c r="H20" s="24"/>
      <c r="I20" s="2"/>
    </row>
    <row r="21" spans="1:9" x14ac:dyDescent="0.25">
      <c r="A21" s="2"/>
      <c r="B21" s="24"/>
      <c r="C21" s="24"/>
      <c r="D21" s="24"/>
      <c r="E21" s="24"/>
      <c r="F21" s="24"/>
      <c r="G21" s="24"/>
      <c r="H21" s="24"/>
      <c r="I21" s="2"/>
    </row>
    <row r="22" spans="1:9" x14ac:dyDescent="0.25">
      <c r="A22" s="2"/>
      <c r="B22" s="2"/>
      <c r="C22" s="2"/>
      <c r="D22" s="2"/>
      <c r="E22" s="2"/>
      <c r="F22" s="2"/>
      <c r="G22" s="24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</sheetData>
  <sheetProtection password="DFE9" sheet="1" objects="1" scenarios="1"/>
  <mergeCells count="13">
    <mergeCell ref="B19:F19"/>
    <mergeCell ref="B3:H4"/>
    <mergeCell ref="B8:H8"/>
    <mergeCell ref="B18:F18"/>
    <mergeCell ref="B9:D9"/>
    <mergeCell ref="B10:D10"/>
    <mergeCell ref="B11:D11"/>
    <mergeCell ref="B17:D17"/>
    <mergeCell ref="B12:D12"/>
    <mergeCell ref="B13:D13"/>
    <mergeCell ref="B14:D14"/>
    <mergeCell ref="B15:D15"/>
    <mergeCell ref="B16:D16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I16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5" width="9.140625" style="3"/>
    <col min="6" max="6" width="19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4" t="s">
        <v>71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15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95" t="s">
        <v>51</v>
      </c>
      <c r="C9" s="83"/>
      <c r="D9" s="83"/>
      <c r="E9" s="83"/>
      <c r="F9" s="84"/>
      <c r="G9" s="12">
        <f>'Fane 3. Korrigeret grundlag'!G12-'Fane 3. Korrigeret grundlag'!G11+SUM('Fane 2.1. Økonomisk ramme 2018'!E13:E14,'Fane 2.1. Økonomisk ramme 2018'!E16:E17)</f>
        <v>38614699.073064581</v>
      </c>
      <c r="H9" s="23" t="s">
        <v>4</v>
      </c>
      <c r="I9" s="2"/>
    </row>
    <row r="10" spans="1:9" x14ac:dyDescent="0.25">
      <c r="A10" s="2"/>
      <c r="B10" s="48" t="s">
        <v>174</v>
      </c>
      <c r="C10" s="49"/>
      <c r="D10" s="49"/>
      <c r="E10" s="49"/>
      <c r="F10" s="50"/>
      <c r="G10" s="12">
        <v>-468526.63866671431</v>
      </c>
      <c r="H10" s="23" t="s">
        <v>4</v>
      </c>
      <c r="I10" s="2"/>
    </row>
    <row r="11" spans="1:9" x14ac:dyDescent="0.25">
      <c r="A11" s="2"/>
      <c r="B11" s="95" t="s">
        <v>37</v>
      </c>
      <c r="C11" s="83"/>
      <c r="D11" s="83"/>
      <c r="E11" s="83"/>
      <c r="F11" s="84"/>
      <c r="G11" s="29">
        <v>0.36663672871650649</v>
      </c>
      <c r="H11" s="23" t="s">
        <v>38</v>
      </c>
      <c r="I11" s="2"/>
    </row>
    <row r="12" spans="1:9" x14ac:dyDescent="0.25">
      <c r="A12" s="2"/>
      <c r="B12" s="91" t="s">
        <v>15</v>
      </c>
      <c r="C12" s="92"/>
      <c r="D12" s="92"/>
      <c r="E12" s="92"/>
      <c r="F12" s="93"/>
      <c r="G12" s="21">
        <f>($G$9+G10)*(1+'Fane 2.1. Økonomisk ramme 2018'!E18/100)*($G$11/100)</f>
        <v>142305.39162205471</v>
      </c>
      <c r="H12" s="22" t="s">
        <v>4</v>
      </c>
      <c r="I12" s="2"/>
    </row>
    <row r="13" spans="1:9" x14ac:dyDescent="0.25">
      <c r="A13" s="2"/>
      <c r="B13" s="2"/>
      <c r="C13" s="2"/>
      <c r="D13" s="2"/>
      <c r="E13" s="2"/>
      <c r="F13" s="2"/>
      <c r="G13" s="2"/>
      <c r="H13" s="2"/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</sheetData>
  <sheetProtection password="DFE9" sheet="1" objects="1" scenarios="1"/>
  <mergeCells count="5">
    <mergeCell ref="B3:H4"/>
    <mergeCell ref="B8:H8"/>
    <mergeCell ref="B12:F12"/>
    <mergeCell ref="B11:F11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21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7109375" style="3" customWidth="1"/>
    <col min="5" max="5" width="9.140625" style="3"/>
    <col min="6" max="6" width="13.570312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4" t="s">
        <v>72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53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107" t="s">
        <v>47</v>
      </c>
      <c r="C9" s="108"/>
      <c r="D9" s="108"/>
      <c r="E9" s="108"/>
      <c r="F9" s="109"/>
      <c r="G9" s="12">
        <f>'Fane 3. Korrigeret grundlag'!G9+(SUM('Fane 2.1. Økonomisk ramme 2018'!E13,'Fane 2.1. Økonomisk ramme 2018'!E16))</f>
        <v>10327395.817690685</v>
      </c>
      <c r="H9" s="23" t="s">
        <v>4</v>
      </c>
      <c r="I9" s="2"/>
    </row>
    <row r="10" spans="1:9" x14ac:dyDescent="0.25">
      <c r="A10" s="2"/>
      <c r="B10" s="52" t="s">
        <v>173</v>
      </c>
      <c r="C10" s="53"/>
      <c r="D10" s="53"/>
      <c r="E10" s="53"/>
      <c r="F10" s="54"/>
      <c r="G10" s="12">
        <v>-206547.91635381372</v>
      </c>
      <c r="H10" s="23" t="s">
        <v>4</v>
      </c>
      <c r="I10" s="2"/>
    </row>
    <row r="11" spans="1:9" x14ac:dyDescent="0.25">
      <c r="A11" s="2"/>
      <c r="B11" s="95" t="s">
        <v>16</v>
      </c>
      <c r="C11" s="83"/>
      <c r="D11" s="83"/>
      <c r="E11" s="83"/>
      <c r="F11" s="84"/>
      <c r="G11" s="37">
        <f>2</f>
        <v>2</v>
      </c>
      <c r="H11" s="23" t="s">
        <v>38</v>
      </c>
      <c r="I11" s="2"/>
    </row>
    <row r="12" spans="1:9" x14ac:dyDescent="0.25">
      <c r="A12" s="2"/>
      <c r="B12" s="96" t="s">
        <v>39</v>
      </c>
      <c r="C12" s="97"/>
      <c r="D12" s="97"/>
      <c r="E12" s="97"/>
      <c r="F12" s="98"/>
      <c r="G12" s="18">
        <f>($G$9+$G$10)*(1+'Fane 2.1. Økonomisk ramme 2018'!E18/100)*$G$11/100</f>
        <v>205959.25479220535</v>
      </c>
      <c r="H12" s="38" t="s">
        <v>4</v>
      </c>
      <c r="I12" s="2"/>
    </row>
    <row r="13" spans="1:9" x14ac:dyDescent="0.25">
      <c r="A13" s="2"/>
      <c r="B13" s="95" t="s">
        <v>48</v>
      </c>
      <c r="C13" s="83"/>
      <c r="D13" s="83"/>
      <c r="E13" s="83"/>
      <c r="F13" s="84"/>
      <c r="G13" s="12">
        <f xml:space="preserve"> 'Fane 3. Korrigeret grundlag'!G10+SUM('Fane 2.1. Økonomisk ramme 2018'!E14,'Fane 2.1. Økonomisk ramme 2018'!E17)</f>
        <v>28287303.255373891</v>
      </c>
      <c r="H13" s="23" t="s">
        <v>4</v>
      </c>
      <c r="I13" s="2"/>
    </row>
    <row r="14" spans="1:9" x14ac:dyDescent="0.25">
      <c r="A14" s="2"/>
      <c r="B14" s="48" t="s">
        <v>175</v>
      </c>
      <c r="C14" s="49"/>
      <c r="D14" s="49"/>
      <c r="E14" s="49"/>
      <c r="F14" s="50"/>
      <c r="G14" s="12">
        <v>-261978.72231290056</v>
      </c>
      <c r="H14" s="23" t="s">
        <v>4</v>
      </c>
      <c r="I14" s="2"/>
    </row>
    <row r="15" spans="1:9" x14ac:dyDescent="0.25">
      <c r="A15" s="2"/>
      <c r="B15" s="95" t="s">
        <v>16</v>
      </c>
      <c r="C15" s="83"/>
      <c r="D15" s="83"/>
      <c r="E15" s="83"/>
      <c r="F15" s="84"/>
      <c r="G15" s="30">
        <v>1.77</v>
      </c>
      <c r="H15" s="23" t="s">
        <v>38</v>
      </c>
      <c r="I15" s="2"/>
    </row>
    <row r="16" spans="1:9" x14ac:dyDescent="0.25">
      <c r="A16" s="2"/>
      <c r="B16" s="96" t="s">
        <v>40</v>
      </c>
      <c r="C16" s="97"/>
      <c r="D16" s="97"/>
      <c r="E16" s="97"/>
      <c r="F16" s="98"/>
      <c r="G16" s="18">
        <f>($G$13+$G$14)*(1+'Fane 2.1. Økonomisk ramme 2018'!E18/100)*$G$15/100</f>
        <v>504729.08850929519</v>
      </c>
      <c r="H16" s="38" t="s">
        <v>4</v>
      </c>
      <c r="I16" s="2"/>
    </row>
    <row r="17" spans="1:9" x14ac:dyDescent="0.25">
      <c r="A17" s="2"/>
      <c r="B17" s="91" t="s">
        <v>52</v>
      </c>
      <c r="C17" s="92"/>
      <c r="D17" s="92"/>
      <c r="E17" s="92"/>
      <c r="F17" s="93"/>
      <c r="G17" s="21">
        <f>G12+G16</f>
        <v>710688.34330150054</v>
      </c>
      <c r="H17" s="22" t="s">
        <v>4</v>
      </c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</sheetData>
  <sheetProtection password="DFE9" sheet="1" objects="1" scenarios="1"/>
  <mergeCells count="9">
    <mergeCell ref="B3:H4"/>
    <mergeCell ref="B8:H8"/>
    <mergeCell ref="B17:F17"/>
    <mergeCell ref="B16:F16"/>
    <mergeCell ref="B15:F15"/>
    <mergeCell ref="B13:F13"/>
    <mergeCell ref="B12:F12"/>
    <mergeCell ref="B11:F11"/>
    <mergeCell ref="B9:F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17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140625" style="3" customWidth="1"/>
    <col min="7" max="7" width="10.28515625" style="3" customWidth="1"/>
    <col min="8" max="8" width="3.140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4" t="s">
        <v>73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54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95" t="s">
        <v>42</v>
      </c>
      <c r="C9" s="83"/>
      <c r="D9" s="83"/>
      <c r="E9" s="83"/>
      <c r="F9" s="84"/>
      <c r="G9" s="27">
        <v>-17622346</v>
      </c>
      <c r="H9" s="23" t="s">
        <v>4</v>
      </c>
      <c r="I9" s="2"/>
    </row>
    <row r="10" spans="1:9" x14ac:dyDescent="0.25">
      <c r="A10" s="2"/>
      <c r="B10" s="95" t="s">
        <v>120</v>
      </c>
      <c r="C10" s="83"/>
      <c r="D10" s="83"/>
      <c r="E10" s="83"/>
      <c r="F10" s="84"/>
      <c r="G10" s="27">
        <v>-12284348.134920634</v>
      </c>
      <c r="H10" s="23" t="s">
        <v>4</v>
      </c>
      <c r="I10" s="2"/>
    </row>
    <row r="11" spans="1:9" x14ac:dyDescent="0.25">
      <c r="A11" s="2"/>
      <c r="B11" s="110" t="s">
        <v>45</v>
      </c>
      <c r="C11" s="111"/>
      <c r="D11" s="111"/>
      <c r="E11" s="111"/>
      <c r="F11" s="112"/>
      <c r="G11" s="57">
        <f>G9-G10</f>
        <v>-5337997.8650793657</v>
      </c>
      <c r="H11" s="39" t="s">
        <v>4</v>
      </c>
      <c r="I11" s="2"/>
    </row>
    <row r="12" spans="1:9" x14ac:dyDescent="0.25">
      <c r="A12" s="2"/>
      <c r="B12" s="95" t="s">
        <v>43</v>
      </c>
      <c r="C12" s="83"/>
      <c r="D12" s="83"/>
      <c r="E12" s="83"/>
      <c r="F12" s="84"/>
      <c r="G12" s="27">
        <v>3</v>
      </c>
      <c r="H12" s="23" t="s">
        <v>125</v>
      </c>
      <c r="I12" s="2"/>
    </row>
    <row r="13" spans="1:9" x14ac:dyDescent="0.25">
      <c r="A13" s="2"/>
      <c r="B13" s="91" t="s">
        <v>41</v>
      </c>
      <c r="C13" s="92"/>
      <c r="D13" s="92"/>
      <c r="E13" s="92"/>
      <c r="F13" s="93"/>
      <c r="G13" s="21">
        <f>IF(G12 = 0,0,G11/G12)</f>
        <v>-1779332.621693122</v>
      </c>
      <c r="H13" s="22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19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94" t="s">
        <v>74</v>
      </c>
      <c r="C3" s="94"/>
      <c r="D3" s="94"/>
      <c r="E3" s="94"/>
      <c r="F3" s="94"/>
      <c r="G3" s="94"/>
      <c r="H3" s="2"/>
    </row>
    <row r="4" spans="1:8" ht="15" customHeight="1" x14ac:dyDescent="0.25">
      <c r="A4" s="2"/>
      <c r="B4" s="94"/>
      <c r="C4" s="94"/>
      <c r="D4" s="94"/>
      <c r="E4" s="94"/>
      <c r="F4" s="94"/>
      <c r="G4" s="94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75</v>
      </c>
      <c r="C8" s="92"/>
      <c r="D8" s="92"/>
      <c r="E8" s="92"/>
      <c r="F8" s="92"/>
      <c r="G8" s="93"/>
      <c r="H8" s="2"/>
    </row>
    <row r="9" spans="1:8" ht="39" customHeight="1" x14ac:dyDescent="0.25">
      <c r="A9" s="2"/>
      <c r="B9" s="40" t="s">
        <v>0</v>
      </c>
      <c r="C9" s="19" t="s">
        <v>1</v>
      </c>
      <c r="D9" s="40" t="s">
        <v>2</v>
      </c>
      <c r="E9" s="40" t="s">
        <v>44</v>
      </c>
      <c r="F9" s="113" t="s">
        <v>3</v>
      </c>
      <c r="G9" s="113"/>
      <c r="H9" s="2"/>
    </row>
    <row r="10" spans="1:8" x14ac:dyDescent="0.25">
      <c r="A10" s="2"/>
      <c r="B10" s="47" t="s">
        <v>146</v>
      </c>
      <c r="C10" s="41">
        <v>2016</v>
      </c>
      <c r="D10" s="28">
        <v>5</v>
      </c>
      <c r="E10" s="27">
        <v>31550</v>
      </c>
      <c r="F10" s="12">
        <f>E10/D10</f>
        <v>6310</v>
      </c>
      <c r="G10" s="23" t="s">
        <v>4</v>
      </c>
      <c r="H10" s="2"/>
    </row>
    <row r="11" spans="1:8" x14ac:dyDescent="0.25">
      <c r="A11" s="2"/>
      <c r="B11" s="47" t="s">
        <v>147</v>
      </c>
      <c r="C11" s="41">
        <v>2016</v>
      </c>
      <c r="D11" s="28">
        <v>75</v>
      </c>
      <c r="E11" s="27">
        <v>9362552</v>
      </c>
      <c r="F11" s="12">
        <f t="shared" ref="F11:F14" si="0">E11/D11</f>
        <v>124834.02666666667</v>
      </c>
      <c r="G11" s="23" t="s">
        <v>4</v>
      </c>
      <c r="H11" s="2"/>
    </row>
    <row r="12" spans="1:8" x14ac:dyDescent="0.25">
      <c r="A12" s="2"/>
      <c r="B12" s="47" t="s">
        <v>148</v>
      </c>
      <c r="C12" s="41">
        <v>2016</v>
      </c>
      <c r="D12" s="28">
        <v>5</v>
      </c>
      <c r="E12" s="27">
        <v>244238</v>
      </c>
      <c r="F12" s="12">
        <f t="shared" si="0"/>
        <v>48847.6</v>
      </c>
      <c r="G12" s="23" t="s">
        <v>4</v>
      </c>
      <c r="H12" s="2"/>
    </row>
    <row r="13" spans="1:8" x14ac:dyDescent="0.25">
      <c r="A13" s="2"/>
      <c r="B13" s="47" t="s">
        <v>149</v>
      </c>
      <c r="C13" s="41">
        <v>2016</v>
      </c>
      <c r="D13" s="28">
        <v>20</v>
      </c>
      <c r="E13" s="27">
        <v>719044</v>
      </c>
      <c r="F13" s="12">
        <f t="shared" si="0"/>
        <v>35952.199999999997</v>
      </c>
      <c r="G13" s="23" t="s">
        <v>4</v>
      </c>
      <c r="H13" s="2"/>
    </row>
    <row r="14" spans="1:8" x14ac:dyDescent="0.25">
      <c r="A14" s="2"/>
      <c r="B14" s="47" t="s">
        <v>150</v>
      </c>
      <c r="C14" s="41">
        <v>2016</v>
      </c>
      <c r="D14" s="28">
        <v>60</v>
      </c>
      <c r="E14" s="27">
        <v>761052</v>
      </c>
      <c r="F14" s="12">
        <f t="shared" si="0"/>
        <v>12684.2</v>
      </c>
      <c r="G14" s="23" t="s">
        <v>4</v>
      </c>
      <c r="H14" s="2"/>
    </row>
    <row r="15" spans="1:8" x14ac:dyDescent="0.25">
      <c r="A15" s="2"/>
      <c r="B15" s="91" t="s">
        <v>76</v>
      </c>
      <c r="C15" s="92"/>
      <c r="D15" s="92"/>
      <c r="E15" s="93"/>
      <c r="F15" s="21">
        <f>SUM(F10:F14)</f>
        <v>228628.02666666667</v>
      </c>
      <c r="G15" s="22" t="s">
        <v>4</v>
      </c>
      <c r="H15" s="2"/>
    </row>
    <row r="16" spans="1:8" x14ac:dyDescent="0.25">
      <c r="A16" s="2"/>
      <c r="B16" s="2"/>
      <c r="C16" s="2"/>
      <c r="D16" s="2"/>
      <c r="E16" s="2"/>
      <c r="F16" s="2"/>
      <c r="G16" s="2"/>
      <c r="H16" s="2"/>
    </row>
    <row r="17" spans="1:8" x14ac:dyDescent="0.25">
      <c r="A17" s="2"/>
      <c r="B17" s="2"/>
      <c r="C17" s="2"/>
      <c r="D17" s="2"/>
      <c r="E17" s="2"/>
      <c r="F17" s="2"/>
      <c r="G17" s="2"/>
      <c r="H17" s="2"/>
    </row>
    <row r="18" spans="1:8" x14ac:dyDescent="0.25">
      <c r="A18" s="2"/>
      <c r="B18" s="2"/>
      <c r="C18" s="2"/>
      <c r="D18" s="2"/>
      <c r="E18" s="2"/>
      <c r="F18" s="2"/>
      <c r="G18" s="2"/>
      <c r="H18" s="2"/>
    </row>
    <row r="19" spans="1:8" x14ac:dyDescent="0.25">
      <c r="A19" s="2"/>
      <c r="B19" s="2"/>
      <c r="C19" s="2"/>
      <c r="D19" s="2"/>
      <c r="E19" s="2"/>
      <c r="F19" s="2"/>
      <c r="G19" s="2"/>
      <c r="H19" s="2"/>
    </row>
  </sheetData>
  <sheetProtection password="DFE9" sheet="1" objects="1" scenarios="1"/>
  <mergeCells count="4">
    <mergeCell ref="B15:E15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13</vt:i4>
      </vt:variant>
    </vt:vector>
  </HeadingPairs>
  <TitlesOfParts>
    <vt:vector size="13" baseType="lpstr">
      <vt:lpstr>1. Forside</vt:lpstr>
      <vt:lpstr>Fane 2.1. Økonomisk ramme 2018</vt:lpstr>
      <vt:lpstr>Fane 2.2. Økonomisk ramme 2019</vt:lpstr>
      <vt:lpstr>Fane 3. Korrigeret grundlag</vt:lpstr>
      <vt:lpstr>Fane 4. Ikke-påvirkelige omk.</vt:lpstr>
      <vt:lpstr>Fane 5. Individuelt eff.krav</vt:lpstr>
      <vt:lpstr>Fane 6. Generelt eff.krav</vt:lpstr>
      <vt:lpstr>Fane 7. Hist. over el. underdæk</vt:lpstr>
      <vt:lpstr>Fane 8. Gen. inv. i 2016</vt:lpstr>
      <vt:lpstr>Fane 9. Korrektion af PL2016</vt:lpstr>
      <vt:lpstr>Fane 10. Kontrol af PL2016</vt:lpstr>
      <vt:lpstr>Fane 11. Tillæg</vt:lpstr>
      <vt:lpstr>Fane 12. Bortfald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Emil Heesche</cp:lastModifiedBy>
  <cp:lastPrinted>2016-06-14T12:57:30Z</cp:lastPrinted>
  <dcterms:created xsi:type="dcterms:W3CDTF">2016-06-02T08:51:18Z</dcterms:created>
  <dcterms:modified xsi:type="dcterms:W3CDTF">2017-09-29T11:29:22Z</dcterms:modified>
</cp:coreProperties>
</file>