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4" activeTab="4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19" i="19"/>
  <c r="G20" i="19" s="1"/>
  <c r="E11" i="2" s="1"/>
  <c r="F76" i="11" l="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77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7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<sst xmlns="http://schemas.openxmlformats.org/spreadsheetml/2006/main" count="481" uniqueCount="209">
  <si>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</si>
  <si>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</si>
  <si>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</si>
  <si>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</si>
  <si>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</si>
  <si>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</si>
  <si>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</si>
  <si>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</si>
  <si>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</si>
  <si>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</si>
  <si>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</si>
  <si>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</si>
  <si>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</si>
  <si>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</si>
  <si>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</si>
  <si>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</si>
  <si>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</si>
  <si>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</si>
  <si>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</si>
  <si>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</si>
  <si>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</si>
  <si>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</si>
  <si>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</si>
  <si>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</si>
  <si>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</si>
  <si>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</si>
  <si>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</si>
  <si>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</si>
  <si>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</si>
  <si>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</si>
  <si>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</si>
  <si>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</si>
  <si>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</si>
  <si>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</si>
  <si>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</si>
  <si>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</si>
  <si>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</si>
  <si>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</si>
  <si>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</si>
  <si>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</si>
  <si>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</si>
  <si>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</si>
  <si>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</si>
  <si>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</si>
  <si>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</si>
  <si>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</si>
  <si>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</si>
  <si>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</si>
  <si>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</si>
  <si>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</si>
  <si>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</si>
  <si>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</si>
  <si>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</si>
  <si>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</si>
  <si>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</si>
  <si>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</si>
  <si>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</si>
  <si>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</si>
  <si>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</si>
  <si>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</si>
  <si>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</si>
  <si>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</si>
  <si>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</si>
  <si>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</si>
  <si>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</si>
  <si>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</si>
  <si>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</si>
  <si>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</si>
  <si>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</si>
  <si>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</si>
  <si>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</si>
  <si>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</si>
  <si>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</si>
  <si>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</si>
  <si>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</si>
  <si>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</si>
  <si>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</si>
  <si>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</si>
  <si>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</si>
  <si>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</si>
  <si>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</si>
  <si>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</si>
  <si>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</si>
  <si>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</si>
  <si>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</si>
  <si>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</si>
  <si>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</si>
  <si>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</si>
  <si>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</si>
  <si>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</si>
  <si>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</si>
  <si>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</si>
  <si>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</si>
  <si>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</si>
  <si>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</si>
  <si>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</si>
  <si>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</si>
  <si>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</si>
  <si>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</si>
  <si>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</si>
  <si>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</si>
  <si>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</si>
  <si>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</si>
  <si>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</si>
  <si>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</si>
  <si>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</si>
  <si>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</si>
  <si>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</si>
  <si>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</si>
  <si>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</si>
  <si>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</si>
  <si>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</si>
  <si>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</si>
  <si>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</si>
  <si>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</si>
  <si>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</si>
  <si>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</si>
  <si>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</si>
  <si>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</si>
  <si>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</si>
  <si>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</si>
  <si>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</si>
  <si>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</si>
  <si>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</si>
  <si>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</si>
  <si>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</si>
  <si>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</si>
  <si>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</si>
  <si>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</si>
  <si>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</si>
  <si>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</si>
  <si>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</si>
  <si>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</si>
  <si>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</si>
  <si>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</si>
  <si>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</si>
  <si>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</si>
  <si>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</si>
  <si>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</si>
  <si>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</si>
  <si>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</si>
  <si>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</si>
  <si>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</si>
  <si>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</si>
  <si>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</si>
  <si>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</si>
  <si>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</si>
  <si>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Køretøjer, store lastvogne (&gt; 3.500 kg.)</t>
  </si>
  <si>
    <t>Værksteder, garager</t>
  </si>
  <si>
    <t>Køretøjer, personbil</t>
  </si>
  <si>
    <t>Administrationbygninger</t>
  </si>
  <si>
    <t>Mindre renseanlæg &lt; 5.000 PE uden mulighed for opdeling</t>
  </si>
  <si>
    <t>Indløb med riste, Mek/EL</t>
  </si>
  <si>
    <t>Brønde</t>
  </si>
  <si>
    <t>Tryksatte minipumpestationer (husstandssystemer)</t>
  </si>
  <si>
    <t>Ledningsnet ≤ Ø 200 mm</t>
  </si>
  <si>
    <t>Stik</t>
  </si>
  <si>
    <t>Strømpeforing Ø 200 mm &lt; Ledningsnet ≤ Ø 500 mm</t>
  </si>
  <si>
    <t>Strømpeforing ≤ Ø 200 mm</t>
  </si>
  <si>
    <t>Strømpeforing Ø 500 mm &lt; Ledningsnet ≤ Ø 800 mm</t>
  </si>
  <si>
    <t>Ø 200 mm &lt; Ledningsnet ≤ Ø 500 mm</t>
  </si>
  <si>
    <t>Ø 500 mm &lt; Ledningsnet ≤ Ø 800 mm</t>
  </si>
  <si>
    <t>Pumpestationer i brønde (&lt; 6,25 m2), Konstruktioner</t>
  </si>
  <si>
    <t>Pumpestationer i brønde (&lt; 6,25 m2), Mek/EL</t>
  </si>
  <si>
    <t>Indløb-/udløbsarrangement</t>
  </si>
  <si>
    <t>Jordbassin Klasse B</t>
  </si>
  <si>
    <t>Pumpestationer i brønde (&lt; 6,25 m2), SRO</t>
  </si>
  <si>
    <t>Forsinkelsesbassiner, lukkede med automatisk rensning og SRO Miljøklasse A (1.000-3.000 m3) - SRO</t>
  </si>
  <si>
    <t>Forsinkelsesbassiner, lukkede med automatisk rensning og SRO Miljøklasse A (1.000-3.000 m3) - Konstruktioner</t>
  </si>
  <si>
    <t>Pumpestationer m. overbygning (&lt; 20 m2), Mek/EL</t>
  </si>
  <si>
    <t>Pumpestationer m. overbygning (&lt; 20 m2), SRO</t>
  </si>
  <si>
    <t>Forsinkelsesbassiner, lukkede med automatisk rensning og SRO Miljøklasse A (5.000-10.000 m3) - Konstruktionre</t>
  </si>
  <si>
    <t>Forsinkelsesbassiner, lukkede med automatisk rensning og SRO Miljøklasse A (5.000-10.000 m3) - SRO</t>
  </si>
  <si>
    <t>Beluftningstanke, Mek/EL</t>
  </si>
  <si>
    <t>Kælder (&lt; 7 m2)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</si>
  <si>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</si>
  <si>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</si>
  <si>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Forsinkelsesbassiner, lukkede med automatisk rensning og SRO Miljøklasse A (500-1.000 m3) -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</si>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</sst>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7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198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00" t="s">
        <v>78</v>
      </c>
      <c r="C9" s="86"/>
      <c r="D9" s="86"/>
      <c r="E9" s="86"/>
      <c r="F9" s="87"/>
      <c r="G9" s="27">
        <v>4141337</v>
      </c>
      <c r="H9" s="23" t="s">
        <v>4</v>
      </c>
      <c r="I9" s="2"/>
    </row>
    <row r="10" spans="1:9" x14ac:dyDescent="0.25">
      <c r="A10" s="2"/>
      <c r="B10" s="100" t="s">
        <v>79</v>
      </c>
      <c r="C10" s="86"/>
      <c r="D10" s="86"/>
      <c r="E10" s="86"/>
      <c r="F10" s="87"/>
      <c r="G10" s="27">
        <v>4514840</v>
      </c>
      <c r="H10" s="23" t="s">
        <v>4</v>
      </c>
      <c r="I10" s="2"/>
    </row>
    <row r="11" spans="1:9" x14ac:dyDescent="0.25">
      <c r="A11" s="2"/>
      <c r="B11" s="94" t="s">
        <v>199</v>
      </c>
      <c r="C11" s="95"/>
      <c r="D11" s="95"/>
      <c r="E11" s="95"/>
      <c r="F11" s="96"/>
      <c r="G11" s="21">
        <f>G9-G10</f>
        <v>-373503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200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100" t="s">
        <v>80</v>
      </c>
      <c r="C15" s="86"/>
      <c r="D15" s="86"/>
      <c r="E15" s="86"/>
      <c r="F15" s="87"/>
      <c r="G15" s="27">
        <v>5558251</v>
      </c>
      <c r="H15" s="23" t="s">
        <v>4</v>
      </c>
      <c r="I15" s="2"/>
    </row>
    <row r="16" spans="1:9" x14ac:dyDescent="0.25">
      <c r="A16" s="2"/>
      <c r="B16" s="100" t="s">
        <v>81</v>
      </c>
      <c r="C16" s="86"/>
      <c r="D16" s="86"/>
      <c r="E16" s="86"/>
      <c r="F16" s="87"/>
      <c r="G16" s="27">
        <v>8279661</v>
      </c>
      <c r="H16" s="23" t="s">
        <v>4</v>
      </c>
      <c r="I16" s="2"/>
    </row>
    <row r="17" spans="1:9" x14ac:dyDescent="0.25">
      <c r="A17" s="2"/>
      <c r="B17" s="94" t="s">
        <v>200</v>
      </c>
      <c r="C17" s="95"/>
      <c r="D17" s="95"/>
      <c r="E17" s="95"/>
      <c r="F17" s="96"/>
      <c r="G17" s="21">
        <f>G15-G16</f>
        <v>-2721410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201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100" t="s">
        <v>82</v>
      </c>
      <c r="C21" s="86"/>
      <c r="D21" s="86"/>
      <c r="E21" s="86"/>
      <c r="F21" s="87"/>
      <c r="G21" s="27">
        <v>470969</v>
      </c>
      <c r="H21" s="23" t="s">
        <v>4</v>
      </c>
      <c r="I21" s="2"/>
    </row>
    <row r="22" spans="1:9" x14ac:dyDescent="0.25">
      <c r="A22" s="2"/>
      <c r="B22" s="100" t="s">
        <v>83</v>
      </c>
      <c r="C22" s="86"/>
      <c r="D22" s="86"/>
      <c r="E22" s="86"/>
      <c r="F22" s="87"/>
      <c r="G22" s="27">
        <v>540000</v>
      </c>
      <c r="H22" s="23" t="s">
        <v>4</v>
      </c>
      <c r="I22" s="2"/>
    </row>
    <row r="23" spans="1:9" x14ac:dyDescent="0.25">
      <c r="A23" s="2"/>
      <c r="B23" s="94" t="s">
        <v>201</v>
      </c>
      <c r="C23" s="95"/>
      <c r="D23" s="95"/>
      <c r="E23" s="95"/>
      <c r="F23" s="96"/>
      <c r="G23" s="21">
        <f>G21-G22</f>
        <v>-69031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202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100" t="s">
        <v>85</v>
      </c>
      <c r="C28" s="86"/>
      <c r="D28" s="86"/>
      <c r="E28" s="86"/>
      <c r="F28" s="87"/>
      <c r="G28" s="27">
        <v>1678803</v>
      </c>
      <c r="H28" s="23" t="s">
        <v>4</v>
      </c>
      <c r="I28" s="2"/>
    </row>
    <row r="29" spans="1:9" ht="15" customHeight="1" x14ac:dyDescent="0.25">
      <c r="A29" s="2"/>
      <c r="B29" s="105" t="s">
        <v>202</v>
      </c>
      <c r="C29" s="106"/>
      <c r="D29" s="106"/>
      <c r="E29" s="106"/>
      <c r="F29" s="107"/>
      <c r="G29" s="21">
        <f>G27-G28</f>
        <v>-1678803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86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100" t="s">
        <v>87</v>
      </c>
      <c r="C33" s="86"/>
      <c r="D33" s="86"/>
      <c r="E33" s="86"/>
      <c r="F33" s="87"/>
      <c r="G33" s="12">
        <f>'Fane 8. Gen. inv. i 2016'!F78</f>
        <v>1086487.3280666668</v>
      </c>
      <c r="H33" s="23" t="s">
        <v>4</v>
      </c>
      <c r="I33" s="2"/>
    </row>
    <row r="34" spans="1:9" x14ac:dyDescent="0.25">
      <c r="A34" s="2"/>
      <c r="B34" s="100" t="s">
        <v>88</v>
      </c>
      <c r="C34" s="86"/>
      <c r="D34" s="86"/>
      <c r="E34" s="86"/>
      <c r="F34" s="87"/>
      <c r="G34" s="27">
        <v>3828182.7333333334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-2741695.4052666668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1" t="s">
        <v>91</v>
      </c>
      <c r="C9" s="102"/>
      <c r="D9" s="102"/>
      <c r="E9" s="102"/>
      <c r="F9" s="103"/>
      <c r="G9" s="26">
        <v>93138266.361648083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100" t="s">
        <v>19</v>
      </c>
      <c r="C11" s="86"/>
      <c r="D11" s="87"/>
      <c r="E11" s="27">
        <v>36971098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93</v>
      </c>
      <c r="C12" s="86"/>
      <c r="D12" s="87"/>
      <c r="E12" s="27">
        <v>4952809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94</v>
      </c>
      <c r="C13" s="86"/>
      <c r="D13" s="87"/>
      <c r="E13" s="27">
        <v>-3640804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95</v>
      </c>
      <c r="C14" s="86"/>
      <c r="D14" s="87"/>
      <c r="E14" s="27">
        <v>8760379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47043482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6"/>
      <c r="D16" s="87"/>
      <c r="E16" s="27">
        <v>4077927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4077927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-4385505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-46449950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6"/>
      <c r="D22" s="87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6"/>
      <c r="D23" s="87"/>
      <c r="E23" s="27">
        <v>-128960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-152294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-51116709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4700</v>
      </c>
      <c r="F28" s="38" t="s">
        <v>4</v>
      </c>
      <c r="G28" s="1">
        <f>IF(E28&lt;0,0,-E28)</f>
        <v>-4700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101" t="s">
        <v>96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81052558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1230366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82282924</v>
      </c>
      <c r="F35" s="38" t="s">
        <v>4</v>
      </c>
      <c r="G35" s="18">
        <f>-E35</f>
        <v>-82282924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10850642.361648083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126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195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196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191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208</v>
      </c>
      <c r="C16" s="89"/>
      <c r="D16" s="89"/>
      <c r="E16" s="90"/>
      <c r="F16" s="117" t="s">
        <v>192</v>
      </c>
      <c r="G16" s="117"/>
      <c r="H16" s="2"/>
    </row>
    <row r="17" spans="1:8" x14ac:dyDescent="0.25">
      <c r="A17" s="2"/>
      <c r="B17" s="100" t="s">
        <v>204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193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194</v>
      </c>
      <c r="C19" s="95"/>
      <c r="D19" s="95"/>
      <c r="E19" s="96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203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109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92758562.731453106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3593203.0299162394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omk.'!G20</f>
        <v>446335.44845450018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206</v>
      </c>
      <c r="C12" s="49"/>
      <c r="D12" s="50"/>
      <c r="E12" s="12">
        <f>'Fane 5. Individuelt eff.krav'!G10</f>
        <v>-1250588.4691120759</v>
      </c>
      <c r="F12" s="9" t="s">
        <v>4</v>
      </c>
      <c r="G12" s="13"/>
      <c r="H12" s="14"/>
      <c r="I12" s="2"/>
    </row>
    <row r="13" spans="1:9" x14ac:dyDescent="0.25">
      <c r="A13" s="2"/>
      <c r="B13" s="85" t="s">
        <v>187</v>
      </c>
      <c r="C13" s="97"/>
      <c r="D13" s="98"/>
      <c r="E13" s="12">
        <f>'Fane 3. Korrigeret grundlag'!G22</f>
        <v>0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129</v>
      </c>
      <c r="C14" s="92"/>
      <c r="D14" s="93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130</v>
      </c>
      <c r="C15" s="92"/>
      <c r="D15" s="93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191</v>
      </c>
      <c r="C16" s="92"/>
      <c r="D16" s="93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131</v>
      </c>
      <c r="C17" s="92"/>
      <c r="D17" s="93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1" t="s">
        <v>132</v>
      </c>
      <c r="C18" s="92"/>
      <c r="D18" s="93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5" t="s">
        <v>123</v>
      </c>
      <c r="C20" s="86"/>
      <c r="D20" s="87"/>
      <c r="E20" s="12">
        <f>SUM(E9,E11:E18)*(E19/100)</f>
        <v>1609200.4199389217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6"/>
      <c r="D21" s="87"/>
      <c r="E21" s="12">
        <f>'Fane 5. Individuelt eff.krav'!G12</f>
        <v>916569.34705046855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6"/>
      <c r="D22" s="87"/>
      <c r="E22" s="12">
        <f>'Fane 6. Generelt eff.krav'!G17</f>
        <v>1670154.0968213659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197</v>
      </c>
      <c r="C23" s="102"/>
      <c r="D23" s="103"/>
      <c r="E23" s="18">
        <f>SUM(E9,E11:E18,E20)-SUM(E21:E22)</f>
        <v>90976786.686862603</v>
      </c>
      <c r="F23" s="19" t="s">
        <v>4</v>
      </c>
      <c r="G23" s="18">
        <f>E23</f>
        <v>90976786.686862603</v>
      </c>
      <c r="H23" s="19" t="s">
        <v>4</v>
      </c>
      <c r="I23" s="2"/>
    </row>
    <row r="24" spans="1:9" x14ac:dyDescent="0.25">
      <c r="A24" s="2"/>
      <c r="B24" s="94" t="s">
        <v>17</v>
      </c>
      <c r="C24" s="95"/>
      <c r="D24" s="95"/>
      <c r="E24" s="95"/>
      <c r="F24" s="95"/>
      <c r="G24" s="95"/>
      <c r="H24" s="96"/>
      <c r="I24" s="2"/>
    </row>
    <row r="25" spans="1:9" x14ac:dyDescent="0.25">
      <c r="A25" s="2"/>
      <c r="B25" s="88" t="s">
        <v>55</v>
      </c>
      <c r="C25" s="89"/>
      <c r="D25" s="9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4" t="s">
        <v>98</v>
      </c>
      <c r="C26" s="95"/>
      <c r="D26" s="95"/>
      <c r="E26" s="95"/>
      <c r="F26" s="95"/>
      <c r="G26" s="95"/>
      <c r="H26" s="96"/>
      <c r="I26" s="2"/>
    </row>
    <row r="27" spans="1:9" x14ac:dyDescent="0.25">
      <c r="A27" s="2"/>
      <c r="B27" s="91" t="s">
        <v>105</v>
      </c>
      <c r="C27" s="92"/>
      <c r="D27" s="93"/>
      <c r="E27" s="12">
        <f>'Fane 9. Korrektion af PL2016'!G11</f>
        <v>-373503</v>
      </c>
      <c r="F27" s="9" t="s">
        <v>4</v>
      </c>
      <c r="G27" s="20"/>
      <c r="H27" s="11"/>
      <c r="I27" s="2"/>
    </row>
    <row r="28" spans="1:9" x14ac:dyDescent="0.25">
      <c r="A28" s="2"/>
      <c r="B28" s="91" t="s">
        <v>99</v>
      </c>
      <c r="C28" s="92"/>
      <c r="D28" s="93"/>
      <c r="E28" s="12">
        <f>'Fane 9. Korrektion af PL2016'!G17</f>
        <v>-2721410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1" t="s">
        <v>100</v>
      </c>
      <c r="C29" s="92"/>
      <c r="D29" s="93"/>
      <c r="E29" s="12">
        <f>'Fane 9. Korrektion af PL2016'!G23</f>
        <v>-69031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1" t="s">
        <v>101</v>
      </c>
      <c r="C30" s="92"/>
      <c r="D30" s="93"/>
      <c r="E30" s="12">
        <f>'Fane 9. Korrektion af PL2016'!G29</f>
        <v>-1678803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1" t="s">
        <v>102</v>
      </c>
      <c r="C31" s="92"/>
      <c r="D31" s="93"/>
      <c r="E31" s="12">
        <f>'Fane 9. Korrektion af PL2016'!G35</f>
        <v>-2741695.4052666668</v>
      </c>
      <c r="F31" s="9" t="s">
        <v>4</v>
      </c>
      <c r="G31" s="15"/>
      <c r="H31" s="14"/>
      <c r="I31" s="2"/>
    </row>
    <row r="32" spans="1:9" x14ac:dyDescent="0.25">
      <c r="A32" s="2"/>
      <c r="B32" s="88" t="s">
        <v>103</v>
      </c>
      <c r="C32" s="89"/>
      <c r="D32" s="90"/>
      <c r="E32" s="18">
        <f>SUM(E27:E31)</f>
        <v>-7584442.4052666668</v>
      </c>
      <c r="F32" s="19" t="s">
        <v>4</v>
      </c>
      <c r="G32" s="18">
        <f>E32</f>
        <v>-7584442.4052666668</v>
      </c>
      <c r="H32" s="19" t="s">
        <v>4</v>
      </c>
      <c r="I32" s="2"/>
    </row>
    <row r="33" spans="1:9" x14ac:dyDescent="0.25">
      <c r="A33" s="2"/>
      <c r="B33" s="94" t="s">
        <v>18</v>
      </c>
      <c r="C33" s="95"/>
      <c r="D33" s="95"/>
      <c r="E33" s="95"/>
      <c r="F33" s="95"/>
      <c r="G33" s="95"/>
      <c r="H33" s="96"/>
      <c r="I33" s="2"/>
    </row>
    <row r="34" spans="1:9" x14ac:dyDescent="0.25">
      <c r="A34" s="2"/>
      <c r="B34" s="88" t="s">
        <v>104</v>
      </c>
      <c r="C34" s="89"/>
      <c r="D34" s="90"/>
      <c r="E34" s="18">
        <f>'Fane 10. Kontrol af PL2016'!G36</f>
        <v>10850642.361648083</v>
      </c>
      <c r="F34" s="19" t="s">
        <v>4</v>
      </c>
      <c r="G34" s="18">
        <f>E34</f>
        <v>10850642.361648083</v>
      </c>
      <c r="H34" s="19" t="s">
        <v>4</v>
      </c>
      <c r="I34" s="2"/>
    </row>
    <row r="35" spans="1:9" x14ac:dyDescent="0.25">
      <c r="A35" s="2"/>
      <c r="B35" s="94" t="s">
        <v>62</v>
      </c>
      <c r="C35" s="95"/>
      <c r="D35" s="95"/>
      <c r="E35" s="95"/>
      <c r="F35" s="96"/>
      <c r="G35" s="21">
        <f>G23+G25+G32+G34</f>
        <v>94242986.643244013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>
      <selection activeCell="E14" sqref="E14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108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2018'!G23-'Fane 2.1. Økonomisk ramme 2018'!E13*(1+0.0175)*(1-0.02-'Fane 5. Individuelt eff.krav'!G11/100)</f>
        <v>90976786.686862603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97"/>
      <c r="D10" s="98"/>
      <c r="E10" s="12">
        <f>(SUM('Fane 2.1. Økonomisk ramme 2018'!E10:E11,'Fane 2.1. Økonomisk ramme 2018'!E16))*(1+'Fane 2.1. Økonomisk ramme 2018'!E19/100)</f>
        <v>4110230.4017422278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187</v>
      </c>
      <c r="C11" s="59"/>
      <c r="D11" s="60"/>
      <c r="E11" s="12">
        <v>0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6"/>
      <c r="D12" s="87"/>
      <c r="E12" s="12">
        <f>($E$9+E11)*'Fane 2.1. Økonomisk ramme 2018'!E19/100</f>
        <v>1592093.7670200956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6"/>
      <c r="D13" s="87"/>
      <c r="E13" s="12">
        <f>($E$9+E11-$E$10)*(1+'Fane 2.1. Økonomisk ramme 2018'!E19/100)*'Fane 5. Individuelt eff.krav'!$G$11/100</f>
        <v>905641.01639168384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1667535.7239921808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197</v>
      </c>
      <c r="C15" s="102"/>
      <c r="D15" s="103"/>
      <c r="E15" s="18">
        <f>$E$9+$E$12-$E$13-$E$14+E11</f>
        <v>89995703.713498831</v>
      </c>
      <c r="F15" s="19" t="s">
        <v>4</v>
      </c>
      <c r="G15" s="18">
        <f>E15</f>
        <v>89995703.713498831</v>
      </c>
      <c r="H15" s="19" t="s">
        <v>4</v>
      </c>
      <c r="I15" s="2"/>
    </row>
    <row r="16" spans="1:9" x14ac:dyDescent="0.25">
      <c r="A16" s="2"/>
      <c r="B16" s="94" t="s">
        <v>17</v>
      </c>
      <c r="C16" s="95"/>
      <c r="D16" s="95"/>
      <c r="E16" s="95"/>
      <c r="F16" s="95"/>
      <c r="G16" s="95"/>
      <c r="H16" s="96"/>
      <c r="I16" s="2"/>
    </row>
    <row r="17" spans="1:9" ht="15" customHeight="1" x14ac:dyDescent="0.25">
      <c r="A17" s="2"/>
      <c r="B17" s="88" t="s">
        <v>55</v>
      </c>
      <c r="C17" s="89"/>
      <c r="D17" s="9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94" t="s">
        <v>107</v>
      </c>
      <c r="C18" s="95"/>
      <c r="D18" s="95"/>
      <c r="E18" s="95"/>
      <c r="F18" s="96"/>
      <c r="G18" s="21">
        <f>G15+G17</f>
        <v>89995703.713498831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>
      <selection activeCell="G22" sqref="G22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110</v>
      </c>
      <c r="C9" s="86"/>
      <c r="D9" s="86"/>
      <c r="E9" s="86"/>
      <c r="F9" s="87"/>
      <c r="G9" s="27">
        <v>37861915.321357243</v>
      </c>
      <c r="H9" s="23" t="s">
        <v>4</v>
      </c>
      <c r="I9" s="2"/>
    </row>
    <row r="10" spans="1:9" x14ac:dyDescent="0.25">
      <c r="A10" s="2"/>
      <c r="B10" s="100" t="s">
        <v>111</v>
      </c>
      <c r="C10" s="86"/>
      <c r="D10" s="86"/>
      <c r="E10" s="86"/>
      <c r="F10" s="87"/>
      <c r="G10" s="27">
        <v>51303444.380179621</v>
      </c>
      <c r="H10" s="23" t="s">
        <v>4</v>
      </c>
      <c r="I10" s="2"/>
    </row>
    <row r="11" spans="1:9" x14ac:dyDescent="0.25">
      <c r="A11" s="2"/>
      <c r="B11" s="100" t="s">
        <v>138</v>
      </c>
      <c r="C11" s="86"/>
      <c r="D11" s="86"/>
      <c r="E11" s="86"/>
      <c r="F11" s="87"/>
      <c r="G11" s="27">
        <v>3593203.0299162394</v>
      </c>
      <c r="H11" s="23" t="s">
        <v>4</v>
      </c>
      <c r="I11" s="2"/>
    </row>
    <row r="12" spans="1:9" ht="17.25" customHeight="1" x14ac:dyDescent="0.25">
      <c r="A12" s="2"/>
      <c r="B12" s="105" t="s">
        <v>143</v>
      </c>
      <c r="C12" s="106"/>
      <c r="D12" s="106"/>
      <c r="E12" s="106"/>
      <c r="F12" s="107"/>
      <c r="G12" s="21">
        <f>SUM(G9:G11)</f>
        <v>92758562.731453106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4" t="s">
        <v>187</v>
      </c>
      <c r="C19" s="95"/>
      <c r="D19" s="95"/>
      <c r="E19" s="95"/>
      <c r="F19" s="95"/>
      <c r="G19" s="95"/>
      <c r="H19" s="96"/>
      <c r="I19" s="2"/>
    </row>
    <row r="20" spans="1:9" x14ac:dyDescent="0.25">
      <c r="A20" s="2"/>
      <c r="B20" s="100" t="s">
        <v>188</v>
      </c>
      <c r="C20" s="86"/>
      <c r="D20" s="86"/>
      <c r="E20" s="86"/>
      <c r="F20" s="87"/>
      <c r="G20" s="27">
        <v>0</v>
      </c>
      <c r="H20" s="23" t="s">
        <v>4</v>
      </c>
      <c r="I20" s="2"/>
    </row>
    <row r="21" spans="1:9" x14ac:dyDescent="0.25">
      <c r="A21" s="2"/>
      <c r="B21" s="100" t="s">
        <v>189</v>
      </c>
      <c r="C21" s="86"/>
      <c r="D21" s="86"/>
      <c r="E21" s="86"/>
      <c r="F21" s="87"/>
      <c r="G21" s="27">
        <v>0</v>
      </c>
      <c r="H21" s="23" t="s">
        <v>4</v>
      </c>
      <c r="I21" s="2"/>
    </row>
    <row r="22" spans="1:9" x14ac:dyDescent="0.25">
      <c r="A22" s="2"/>
      <c r="B22" s="105" t="s">
        <v>190</v>
      </c>
      <c r="C22" s="106"/>
      <c r="D22" s="106"/>
      <c r="E22" s="106"/>
      <c r="F22" s="107"/>
      <c r="G22" s="21">
        <f>SUM(G20:G21)</f>
        <v>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tabSelected="1" view="pageLayout" zoomScaleNormal="100" workbookViewId="0">
      <selection activeCell="G18" sqref="G18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178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179</v>
      </c>
      <c r="C11" s="109"/>
      <c r="D11" s="109"/>
      <c r="E11" s="56">
        <v>103095.7418</v>
      </c>
      <c r="F11" s="23" t="s">
        <v>4</v>
      </c>
      <c r="G11" s="27">
        <v>271450</v>
      </c>
      <c r="H11" s="23" t="s">
        <v>4</v>
      </c>
      <c r="I11" s="2"/>
    </row>
    <row r="12" spans="1:9" x14ac:dyDescent="0.25">
      <c r="A12" s="2"/>
      <c r="B12" s="108" t="s">
        <v>180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181</v>
      </c>
      <c r="C13" s="109"/>
      <c r="D13" s="109"/>
      <c r="E13" s="56">
        <v>32399.4126</v>
      </c>
      <c r="F13" s="23" t="s">
        <v>4</v>
      </c>
      <c r="G13" s="27">
        <v>60031</v>
      </c>
      <c r="H13" s="23" t="s">
        <v>4</v>
      </c>
      <c r="I13" s="2"/>
    </row>
    <row r="14" spans="1:9" x14ac:dyDescent="0.25">
      <c r="A14" s="2"/>
      <c r="B14" s="108" t="s">
        <v>182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183</v>
      </c>
      <c r="C15" s="109"/>
      <c r="D15" s="109"/>
      <c r="E15" s="56">
        <v>1740222.9282</v>
      </c>
      <c r="F15" s="23" t="s">
        <v>4</v>
      </c>
      <c r="G15" s="27">
        <v>1582687</v>
      </c>
      <c r="H15" s="23" t="s">
        <v>4</v>
      </c>
      <c r="I15" s="2"/>
    </row>
    <row r="16" spans="1:9" x14ac:dyDescent="0.25">
      <c r="A16" s="2"/>
      <c r="B16" s="108" t="s">
        <v>184</v>
      </c>
      <c r="C16" s="109"/>
      <c r="D16" s="109"/>
      <c r="E16" s="56">
        <v>0</v>
      </c>
      <c r="F16" s="23" t="s">
        <v>4</v>
      </c>
      <c r="G16" s="27">
        <v>2072633</v>
      </c>
      <c r="H16" s="23" t="s">
        <v>4</v>
      </c>
      <c r="I16" s="2"/>
    </row>
    <row r="17" spans="1:9" x14ac:dyDescent="0.25">
      <c r="A17" s="2"/>
      <c r="B17" s="108" t="s">
        <v>185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0.75" customHeight="1" x14ac:dyDescent="0.25">
      <c r="A18" s="2"/>
      <c r="B18" s="110" t="s">
        <v>186</v>
      </c>
      <c r="C18" s="110"/>
      <c r="D18" s="110"/>
      <c r="E18" s="56">
        <v>1672424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4" t="s">
        <v>134</v>
      </c>
      <c r="C19" s="95"/>
      <c r="D19" s="95"/>
      <c r="E19" s="95"/>
      <c r="F19" s="96"/>
      <c r="G19" s="21">
        <f>SUM(G10:G18)-SUM(E10:E18)</f>
        <v>438658.91740000015</v>
      </c>
      <c r="H19" s="22" t="s">
        <v>4</v>
      </c>
      <c r="I19" s="2"/>
    </row>
    <row r="20" spans="1:9" x14ac:dyDescent="0.25">
      <c r="A20" s="2"/>
      <c r="B20" s="94" t="s">
        <v>135</v>
      </c>
      <c r="C20" s="95"/>
      <c r="D20" s="95"/>
      <c r="E20" s="95"/>
      <c r="F20" s="96"/>
      <c r="G20" s="21">
        <f>G19*(1+'Fane 2.1. Økonomisk ramme 2018'!E19/100)</f>
        <v>446335.44845450018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2018'!E13:E15,'Fane 2.1. Økonomisk ramme 2018'!E17:E18)</f>
        <v>89165359.701536864</v>
      </c>
      <c r="H9" s="23" t="s">
        <v>4</v>
      </c>
      <c r="I9" s="2"/>
    </row>
    <row r="10" spans="1:9" x14ac:dyDescent="0.25">
      <c r="A10" s="2"/>
      <c r="B10" s="51" t="s">
        <v>206</v>
      </c>
      <c r="C10" s="49"/>
      <c r="D10" s="49"/>
      <c r="E10" s="49"/>
      <c r="F10" s="50"/>
      <c r="G10" s="12">
        <v>-1250588.4691120759</v>
      </c>
      <c r="H10" s="23" t="s">
        <v>4</v>
      </c>
      <c r="I10" s="2"/>
    </row>
    <row r="11" spans="1:9" x14ac:dyDescent="0.25">
      <c r="A11" s="2"/>
      <c r="B11" s="100" t="s">
        <v>37</v>
      </c>
      <c r="C11" s="86"/>
      <c r="D11" s="86"/>
      <c r="E11" s="86"/>
      <c r="F11" s="87"/>
      <c r="G11" s="29">
        <v>1.024634702972667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2018'!E19/100)*($G$11/100)</f>
        <v>916569.34705046855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37861915.321357243</v>
      </c>
      <c r="H9" s="23" t="s">
        <v>4</v>
      </c>
      <c r="I9" s="2"/>
    </row>
    <row r="10" spans="1:9" x14ac:dyDescent="0.25">
      <c r="A10" s="2"/>
      <c r="B10" s="52" t="s">
        <v>205</v>
      </c>
      <c r="C10" s="53"/>
      <c r="D10" s="53"/>
      <c r="E10" s="53"/>
      <c r="F10" s="54"/>
      <c r="G10" s="12">
        <v>-758594.89909314481</v>
      </c>
      <c r="H10" s="23" t="s">
        <v>4</v>
      </c>
      <c r="I10" s="2"/>
    </row>
    <row r="11" spans="1:9" x14ac:dyDescent="0.25">
      <c r="A11" s="2"/>
      <c r="B11" s="100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755052.57059307443</v>
      </c>
      <c r="H12" s="38" t="s">
        <v>4</v>
      </c>
      <c r="I12" s="2"/>
    </row>
    <row r="13" spans="1:9" x14ac:dyDescent="0.25">
      <c r="A13" s="2"/>
      <c r="B13" s="100" t="s">
        <v>48</v>
      </c>
      <c r="C13" s="86"/>
      <c r="D13" s="86"/>
      <c r="E13" s="86"/>
      <c r="F13" s="87"/>
      <c r="G13" s="12">
        <f>'Fane 3. Korrigeret grundlag'!G10+SUM('Fane 2.1. Økonomisk ramme 2018'!E15,'Fane 2.1. Økonomisk ramme 2018'!E18)</f>
        <v>51303444.380179621</v>
      </c>
      <c r="H13" s="23" t="s">
        <v>4</v>
      </c>
      <c r="I13" s="2"/>
    </row>
    <row r="14" spans="1:9" x14ac:dyDescent="0.25">
      <c r="A14" s="2"/>
      <c r="B14" s="51" t="s">
        <v>207</v>
      </c>
      <c r="C14" s="49"/>
      <c r="D14" s="49"/>
      <c r="E14" s="49"/>
      <c r="F14" s="50"/>
      <c r="G14" s="12">
        <v>-491993.57001893094</v>
      </c>
      <c r="H14" s="23" t="s">
        <v>4</v>
      </c>
      <c r="I14" s="2"/>
    </row>
    <row r="15" spans="1:9" x14ac:dyDescent="0.25">
      <c r="A15" s="2"/>
      <c r="B15" s="100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915101.52622829156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1670154.0968213659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42</v>
      </c>
      <c r="C9" s="86"/>
      <c r="D9" s="86"/>
      <c r="E9" s="86"/>
      <c r="F9" s="87"/>
      <c r="G9" s="27">
        <v>-8774335</v>
      </c>
      <c r="H9" s="23" t="s">
        <v>4</v>
      </c>
      <c r="I9" s="2"/>
    </row>
    <row r="10" spans="1:9" x14ac:dyDescent="0.25">
      <c r="A10" s="2"/>
      <c r="B10" s="100" t="s">
        <v>120</v>
      </c>
      <c r="C10" s="86"/>
      <c r="D10" s="86"/>
      <c r="E10" s="86"/>
      <c r="F10" s="87"/>
      <c r="G10" s="27">
        <v>-8774335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0</v>
      </c>
      <c r="H11" s="39" t="s">
        <v>4</v>
      </c>
      <c r="I11" s="2"/>
    </row>
    <row r="12" spans="1:9" x14ac:dyDescent="0.25">
      <c r="A12" s="2"/>
      <c r="B12" s="100" t="s">
        <v>43</v>
      </c>
      <c r="C12" s="86"/>
      <c r="D12" s="86"/>
      <c r="E12" s="86"/>
      <c r="F12" s="87"/>
      <c r="G12" s="27">
        <v>0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17495</v>
      </c>
      <c r="F10" s="12">
        <f>E10/D10</f>
        <v>3499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2283760.2599999998</v>
      </c>
      <c r="F11" s="12">
        <f t="shared" ref="F11:F77" si="0">E11/D11</f>
        <v>456752.05199999997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144757.21</v>
      </c>
      <c r="F12" s="12">
        <f t="shared" si="0"/>
        <v>1930.0961333333332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</v>
      </c>
      <c r="E13" s="27">
        <v>102900</v>
      </c>
      <c r="F13" s="12">
        <f t="shared" si="0"/>
        <v>20580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155900</v>
      </c>
      <c r="F14" s="12">
        <f t="shared" si="0"/>
        <v>2078.6666666666665</v>
      </c>
      <c r="G14" s="23" t="s">
        <v>4</v>
      </c>
      <c r="H14" s="2"/>
    </row>
    <row r="15" spans="1:8" x14ac:dyDescent="0.25">
      <c r="A15" s="2"/>
      <c r="B15" s="47" t="s">
        <v>148</v>
      </c>
      <c r="C15" s="41">
        <v>2016</v>
      </c>
      <c r="D15" s="28">
        <v>75</v>
      </c>
      <c r="E15" s="27">
        <v>646038.82999999996</v>
      </c>
      <c r="F15" s="12">
        <f t="shared" si="0"/>
        <v>8613.8510666666662</v>
      </c>
      <c r="G15" s="23" t="s">
        <v>4</v>
      </c>
      <c r="H15" s="2"/>
    </row>
    <row r="16" spans="1:8" x14ac:dyDescent="0.25">
      <c r="A16" s="2"/>
      <c r="B16" s="47" t="s">
        <v>148</v>
      </c>
      <c r="C16" s="41">
        <v>2016</v>
      </c>
      <c r="D16" s="28">
        <v>75</v>
      </c>
      <c r="E16" s="27">
        <v>58000</v>
      </c>
      <c r="F16" s="12">
        <f t="shared" si="0"/>
        <v>773.33333333333337</v>
      </c>
      <c r="G16" s="23" t="s">
        <v>4</v>
      </c>
      <c r="H16" s="2"/>
    </row>
    <row r="17" spans="1:8" x14ac:dyDescent="0.25">
      <c r="A17" s="2"/>
      <c r="B17" s="47" t="s">
        <v>149</v>
      </c>
      <c r="C17" s="41">
        <v>2016</v>
      </c>
      <c r="D17" s="28">
        <v>5</v>
      </c>
      <c r="E17" s="27">
        <v>175184</v>
      </c>
      <c r="F17" s="12">
        <f t="shared" si="0"/>
        <v>35036.800000000003</v>
      </c>
      <c r="G17" s="23" t="s">
        <v>4</v>
      </c>
      <c r="H17" s="2"/>
    </row>
    <row r="18" spans="1:8" ht="26.25" x14ac:dyDescent="0.25">
      <c r="A18" s="2"/>
      <c r="B18" s="47" t="s">
        <v>151</v>
      </c>
      <c r="C18" s="41">
        <v>2016</v>
      </c>
      <c r="D18" s="28">
        <v>40</v>
      </c>
      <c r="E18" s="27">
        <v>44360</v>
      </c>
      <c r="F18" s="12">
        <f t="shared" si="0"/>
        <v>1109</v>
      </c>
      <c r="G18" s="23" t="s">
        <v>4</v>
      </c>
      <c r="H18" s="2"/>
    </row>
    <row r="19" spans="1:8" x14ac:dyDescent="0.25">
      <c r="A19" s="2"/>
      <c r="B19" s="47" t="s">
        <v>150</v>
      </c>
      <c r="C19" s="41">
        <v>2016</v>
      </c>
      <c r="D19" s="28">
        <v>75</v>
      </c>
      <c r="E19" s="27">
        <v>11813.85</v>
      </c>
      <c r="F19" s="12">
        <f t="shared" si="0"/>
        <v>157.518</v>
      </c>
      <c r="G19" s="23" t="s">
        <v>4</v>
      </c>
      <c r="H19" s="2"/>
    </row>
    <row r="20" spans="1:8" x14ac:dyDescent="0.25">
      <c r="A20" s="2"/>
      <c r="B20" s="47" t="s">
        <v>152</v>
      </c>
      <c r="C20" s="41">
        <v>2016</v>
      </c>
      <c r="D20" s="28">
        <v>20</v>
      </c>
      <c r="E20" s="27">
        <v>61492.82</v>
      </c>
      <c r="F20" s="12">
        <f t="shared" si="0"/>
        <v>3074.6410000000001</v>
      </c>
      <c r="G20" s="23" t="s">
        <v>4</v>
      </c>
      <c r="H20" s="2"/>
    </row>
    <row r="21" spans="1:8" x14ac:dyDescent="0.25">
      <c r="A21" s="2"/>
      <c r="B21" s="47" t="s">
        <v>146</v>
      </c>
      <c r="C21" s="41">
        <v>2016</v>
      </c>
      <c r="D21" s="28">
        <v>5</v>
      </c>
      <c r="E21" s="27">
        <v>402292.09</v>
      </c>
      <c r="F21" s="12">
        <f t="shared" si="0"/>
        <v>80458.418000000005</v>
      </c>
      <c r="G21" s="23" t="s">
        <v>4</v>
      </c>
      <c r="H21" s="2"/>
    </row>
    <row r="22" spans="1:8" x14ac:dyDescent="0.25">
      <c r="A22" s="2"/>
      <c r="B22" s="47" t="s">
        <v>146</v>
      </c>
      <c r="C22" s="41">
        <v>2016</v>
      </c>
      <c r="D22" s="28">
        <v>5</v>
      </c>
      <c r="E22" s="27">
        <v>50873.75</v>
      </c>
      <c r="F22" s="12">
        <f t="shared" si="0"/>
        <v>10174.75</v>
      </c>
      <c r="G22" s="23" t="s">
        <v>4</v>
      </c>
      <c r="H22" s="2"/>
    </row>
    <row r="23" spans="1:8" x14ac:dyDescent="0.25">
      <c r="A23" s="2"/>
      <c r="B23" s="47" t="s">
        <v>153</v>
      </c>
      <c r="C23" s="41">
        <v>2016</v>
      </c>
      <c r="D23" s="28">
        <v>75</v>
      </c>
      <c r="E23" s="27">
        <v>30130.68</v>
      </c>
      <c r="F23" s="12">
        <f t="shared" si="0"/>
        <v>401.74240000000003</v>
      </c>
      <c r="G23" s="23" t="s">
        <v>4</v>
      </c>
      <c r="H23" s="2"/>
    </row>
    <row r="24" spans="1:8" ht="26.25" x14ac:dyDescent="0.25">
      <c r="A24" s="2"/>
      <c r="B24" s="47" t="s">
        <v>154</v>
      </c>
      <c r="C24" s="41">
        <v>2016</v>
      </c>
      <c r="D24" s="28">
        <v>30</v>
      </c>
      <c r="E24" s="27">
        <v>95342.75</v>
      </c>
      <c r="F24" s="12">
        <f t="shared" si="0"/>
        <v>3178.0916666666667</v>
      </c>
      <c r="G24" s="23" t="s">
        <v>4</v>
      </c>
      <c r="H24" s="2"/>
    </row>
    <row r="25" spans="1:8" x14ac:dyDescent="0.25">
      <c r="A25" s="2"/>
      <c r="B25" s="47" t="s">
        <v>155</v>
      </c>
      <c r="C25" s="41">
        <v>2016</v>
      </c>
      <c r="D25" s="28">
        <v>75</v>
      </c>
      <c r="E25" s="27">
        <v>231674.08</v>
      </c>
      <c r="F25" s="12">
        <f t="shared" si="0"/>
        <v>3088.9877333333334</v>
      </c>
      <c r="G25" s="23" t="s">
        <v>4</v>
      </c>
      <c r="H25" s="2"/>
    </row>
    <row r="26" spans="1:8" x14ac:dyDescent="0.25">
      <c r="A26" s="2"/>
      <c r="B26" s="47" t="s">
        <v>156</v>
      </c>
      <c r="C26" s="41">
        <v>2016</v>
      </c>
      <c r="D26" s="28">
        <v>75</v>
      </c>
      <c r="E26" s="27">
        <v>20403.490000000002</v>
      </c>
      <c r="F26" s="12">
        <f t="shared" si="0"/>
        <v>272.04653333333334</v>
      </c>
      <c r="G26" s="23" t="s">
        <v>4</v>
      </c>
      <c r="H26" s="2"/>
    </row>
    <row r="27" spans="1:8" ht="26.25" x14ac:dyDescent="0.25">
      <c r="A27" s="2"/>
      <c r="B27" s="47" t="s">
        <v>157</v>
      </c>
      <c r="C27" s="41">
        <v>2016</v>
      </c>
      <c r="D27" s="28">
        <v>50</v>
      </c>
      <c r="E27" s="27">
        <v>13468.8</v>
      </c>
      <c r="F27" s="12">
        <f t="shared" si="0"/>
        <v>269.37599999999998</v>
      </c>
      <c r="G27" s="23" t="s">
        <v>4</v>
      </c>
      <c r="H27" s="2"/>
    </row>
    <row r="28" spans="1:8" x14ac:dyDescent="0.25">
      <c r="A28" s="2"/>
      <c r="B28" s="47" t="s">
        <v>153</v>
      </c>
      <c r="C28" s="41">
        <v>2016</v>
      </c>
      <c r="D28" s="28">
        <v>75</v>
      </c>
      <c r="E28" s="27">
        <v>1235334.5</v>
      </c>
      <c r="F28" s="12">
        <f t="shared" si="0"/>
        <v>16471.126666666667</v>
      </c>
      <c r="G28" s="23" t="s">
        <v>4</v>
      </c>
      <c r="H28" s="2"/>
    </row>
    <row r="29" spans="1:8" x14ac:dyDescent="0.25">
      <c r="A29" s="2"/>
      <c r="B29" s="47" t="s">
        <v>153</v>
      </c>
      <c r="C29" s="41">
        <v>2016</v>
      </c>
      <c r="D29" s="28">
        <v>75</v>
      </c>
      <c r="E29" s="27">
        <v>38592</v>
      </c>
      <c r="F29" s="12">
        <f t="shared" si="0"/>
        <v>514.55999999999995</v>
      </c>
      <c r="G29" s="23" t="s">
        <v>4</v>
      </c>
      <c r="H29" s="2"/>
    </row>
    <row r="30" spans="1:8" x14ac:dyDescent="0.25">
      <c r="A30" s="2"/>
      <c r="B30" s="47" t="s">
        <v>158</v>
      </c>
      <c r="C30" s="41">
        <v>2016</v>
      </c>
      <c r="D30" s="28">
        <v>50</v>
      </c>
      <c r="E30" s="27">
        <v>38800</v>
      </c>
      <c r="F30" s="12">
        <f t="shared" si="0"/>
        <v>776</v>
      </c>
      <c r="G30" s="23" t="s">
        <v>4</v>
      </c>
      <c r="H30" s="2"/>
    </row>
    <row r="31" spans="1:8" x14ac:dyDescent="0.25">
      <c r="A31" s="2"/>
      <c r="B31" s="47" t="s">
        <v>158</v>
      </c>
      <c r="C31" s="41">
        <v>2016</v>
      </c>
      <c r="D31" s="28">
        <v>50</v>
      </c>
      <c r="E31" s="27">
        <v>97365.52</v>
      </c>
      <c r="F31" s="12">
        <f t="shared" si="0"/>
        <v>1947.3104000000001</v>
      </c>
      <c r="G31" s="23" t="s">
        <v>4</v>
      </c>
      <c r="H31" s="2"/>
    </row>
    <row r="32" spans="1:8" ht="26.25" x14ac:dyDescent="0.25">
      <c r="A32" s="2"/>
      <c r="B32" s="47" t="s">
        <v>157</v>
      </c>
      <c r="C32" s="41">
        <v>2016</v>
      </c>
      <c r="D32" s="28">
        <v>50</v>
      </c>
      <c r="E32" s="27">
        <v>1799419.5</v>
      </c>
      <c r="F32" s="12">
        <f t="shared" si="0"/>
        <v>35988.39</v>
      </c>
      <c r="G32" s="23" t="s">
        <v>4</v>
      </c>
      <c r="H32" s="2"/>
    </row>
    <row r="33" spans="1:8" ht="26.25" x14ac:dyDescent="0.25">
      <c r="A33" s="2"/>
      <c r="B33" s="47" t="s">
        <v>159</v>
      </c>
      <c r="C33" s="41">
        <v>2016</v>
      </c>
      <c r="D33" s="28">
        <v>50</v>
      </c>
      <c r="E33" s="27">
        <v>616595</v>
      </c>
      <c r="F33" s="12">
        <f t="shared" si="0"/>
        <v>12331.9</v>
      </c>
      <c r="G33" s="23" t="s">
        <v>4</v>
      </c>
      <c r="H33" s="2"/>
    </row>
    <row r="34" spans="1:8" x14ac:dyDescent="0.25">
      <c r="A34" s="2"/>
      <c r="B34" s="47" t="s">
        <v>160</v>
      </c>
      <c r="C34" s="41">
        <v>2016</v>
      </c>
      <c r="D34" s="28">
        <v>75</v>
      </c>
      <c r="E34" s="27">
        <v>918317.95</v>
      </c>
      <c r="F34" s="12">
        <f t="shared" si="0"/>
        <v>12244.239333333333</v>
      </c>
      <c r="G34" s="23" t="s">
        <v>4</v>
      </c>
      <c r="H34" s="2"/>
    </row>
    <row r="35" spans="1:8" x14ac:dyDescent="0.25">
      <c r="A35" s="2"/>
      <c r="B35" s="47" t="s">
        <v>161</v>
      </c>
      <c r="C35" s="41">
        <v>2016</v>
      </c>
      <c r="D35" s="28">
        <v>75</v>
      </c>
      <c r="E35" s="27">
        <v>7803</v>
      </c>
      <c r="F35" s="12">
        <f t="shared" si="0"/>
        <v>104.04</v>
      </c>
      <c r="G35" s="23" t="s">
        <v>4</v>
      </c>
      <c r="H35" s="2"/>
    </row>
    <row r="36" spans="1:8" x14ac:dyDescent="0.25">
      <c r="A36" s="2"/>
      <c r="B36" s="47" t="s">
        <v>156</v>
      </c>
      <c r="C36" s="41">
        <v>2016</v>
      </c>
      <c r="D36" s="28">
        <v>75</v>
      </c>
      <c r="E36" s="27">
        <v>1588890.56</v>
      </c>
      <c r="F36" s="12">
        <f t="shared" si="0"/>
        <v>21185.207466666667</v>
      </c>
      <c r="G36" s="23" t="s">
        <v>4</v>
      </c>
      <c r="H36" s="2"/>
    </row>
    <row r="37" spans="1:8" x14ac:dyDescent="0.25">
      <c r="A37" s="2"/>
      <c r="B37" s="47" t="s">
        <v>156</v>
      </c>
      <c r="C37" s="41">
        <v>2016</v>
      </c>
      <c r="D37" s="28">
        <v>75</v>
      </c>
      <c r="E37" s="27">
        <v>14113</v>
      </c>
      <c r="F37" s="12">
        <f t="shared" si="0"/>
        <v>188.17333333333335</v>
      </c>
      <c r="G37" s="23" t="s">
        <v>4</v>
      </c>
      <c r="H37" s="2"/>
    </row>
    <row r="38" spans="1:8" x14ac:dyDescent="0.25">
      <c r="A38" s="2"/>
      <c r="B38" s="47" t="s">
        <v>158</v>
      </c>
      <c r="C38" s="41">
        <v>2016</v>
      </c>
      <c r="D38" s="28">
        <v>50</v>
      </c>
      <c r="E38" s="27">
        <v>23803</v>
      </c>
      <c r="F38" s="12">
        <f t="shared" si="0"/>
        <v>476.06</v>
      </c>
      <c r="G38" s="23" t="s">
        <v>4</v>
      </c>
      <c r="H38" s="2"/>
    </row>
    <row r="39" spans="1:8" x14ac:dyDescent="0.25">
      <c r="A39" s="2"/>
      <c r="B39" s="47" t="s">
        <v>160</v>
      </c>
      <c r="C39" s="41">
        <v>2016</v>
      </c>
      <c r="D39" s="28">
        <v>75</v>
      </c>
      <c r="E39" s="27">
        <v>188156.21</v>
      </c>
      <c r="F39" s="12">
        <f t="shared" si="0"/>
        <v>2508.7494666666666</v>
      </c>
      <c r="G39" s="23" t="s">
        <v>4</v>
      </c>
      <c r="H39" s="2"/>
    </row>
    <row r="40" spans="1:8" x14ac:dyDescent="0.25">
      <c r="A40" s="2"/>
      <c r="B40" s="47" t="s">
        <v>153</v>
      </c>
      <c r="C40" s="41">
        <v>2016</v>
      </c>
      <c r="D40" s="28">
        <v>75</v>
      </c>
      <c r="E40" s="27">
        <v>786424</v>
      </c>
      <c r="F40" s="12">
        <f t="shared" si="0"/>
        <v>10485.653333333334</v>
      </c>
      <c r="G40" s="23" t="s">
        <v>4</v>
      </c>
      <c r="H40" s="2"/>
    </row>
    <row r="41" spans="1:8" x14ac:dyDescent="0.25">
      <c r="A41" s="2"/>
      <c r="B41" s="47" t="s">
        <v>155</v>
      </c>
      <c r="C41" s="41">
        <v>2016</v>
      </c>
      <c r="D41" s="28">
        <v>75</v>
      </c>
      <c r="E41" s="27">
        <v>713021</v>
      </c>
      <c r="F41" s="12">
        <f t="shared" si="0"/>
        <v>9506.9466666666667</v>
      </c>
      <c r="G41" s="23" t="s">
        <v>4</v>
      </c>
      <c r="H41" s="2"/>
    </row>
    <row r="42" spans="1:8" x14ac:dyDescent="0.25">
      <c r="A42" s="2"/>
      <c r="B42" s="47" t="s">
        <v>156</v>
      </c>
      <c r="C42" s="41">
        <v>2016</v>
      </c>
      <c r="D42" s="28">
        <v>75</v>
      </c>
      <c r="E42" s="27">
        <v>869640</v>
      </c>
      <c r="F42" s="12">
        <f t="shared" si="0"/>
        <v>11595.2</v>
      </c>
      <c r="G42" s="23" t="s">
        <v>4</v>
      </c>
      <c r="H42" s="2"/>
    </row>
    <row r="43" spans="1:8" ht="26.25" x14ac:dyDescent="0.25">
      <c r="A43" s="2"/>
      <c r="B43" s="47" t="s">
        <v>157</v>
      </c>
      <c r="C43" s="41">
        <v>2016</v>
      </c>
      <c r="D43" s="28">
        <v>50</v>
      </c>
      <c r="E43" s="27">
        <v>22946</v>
      </c>
      <c r="F43" s="12">
        <f t="shared" si="0"/>
        <v>458.92</v>
      </c>
      <c r="G43" s="23" t="s">
        <v>4</v>
      </c>
      <c r="H43" s="2"/>
    </row>
    <row r="44" spans="1:8" x14ac:dyDescent="0.25">
      <c r="A44" s="2"/>
      <c r="B44" s="47" t="s">
        <v>160</v>
      </c>
      <c r="C44" s="41">
        <v>2016</v>
      </c>
      <c r="D44" s="28">
        <v>75</v>
      </c>
      <c r="E44" s="27">
        <v>692958</v>
      </c>
      <c r="F44" s="12">
        <f t="shared" si="0"/>
        <v>9239.44</v>
      </c>
      <c r="G44" s="23" t="s">
        <v>4</v>
      </c>
      <c r="H44" s="2"/>
    </row>
    <row r="45" spans="1:8" ht="26.25" x14ac:dyDescent="0.25">
      <c r="A45" s="2"/>
      <c r="B45" s="47" t="s">
        <v>162</v>
      </c>
      <c r="C45" s="41">
        <v>2016</v>
      </c>
      <c r="D45" s="28">
        <v>50</v>
      </c>
      <c r="E45" s="27">
        <v>56084</v>
      </c>
      <c r="F45" s="12">
        <f t="shared" si="0"/>
        <v>1121.68</v>
      </c>
      <c r="G45" s="23" t="s">
        <v>4</v>
      </c>
      <c r="H45" s="2"/>
    </row>
    <row r="46" spans="1:8" x14ac:dyDescent="0.25">
      <c r="A46" s="2"/>
      <c r="B46" s="47" t="s">
        <v>163</v>
      </c>
      <c r="C46" s="41">
        <v>2016</v>
      </c>
      <c r="D46" s="28">
        <v>20</v>
      </c>
      <c r="E46" s="27">
        <v>73856.240000000005</v>
      </c>
      <c r="F46" s="12">
        <f t="shared" si="0"/>
        <v>3692.8120000000004</v>
      </c>
      <c r="G46" s="23" t="s">
        <v>4</v>
      </c>
      <c r="H46" s="2"/>
    </row>
    <row r="47" spans="1:8" x14ac:dyDescent="0.25">
      <c r="A47" s="2"/>
      <c r="B47" s="47" t="s">
        <v>153</v>
      </c>
      <c r="C47" s="41">
        <v>2016</v>
      </c>
      <c r="D47" s="28">
        <v>75</v>
      </c>
      <c r="E47" s="27">
        <v>49660</v>
      </c>
      <c r="F47" s="12">
        <f t="shared" si="0"/>
        <v>662.13333333333333</v>
      </c>
      <c r="G47" s="23" t="s">
        <v>4</v>
      </c>
      <c r="H47" s="2"/>
    </row>
    <row r="48" spans="1:8" x14ac:dyDescent="0.25">
      <c r="A48" s="2"/>
      <c r="B48" s="47" t="s">
        <v>164</v>
      </c>
      <c r="C48" s="41">
        <v>2016</v>
      </c>
      <c r="D48" s="28">
        <v>75</v>
      </c>
      <c r="E48" s="27">
        <v>101856</v>
      </c>
      <c r="F48" s="12">
        <f t="shared" si="0"/>
        <v>1358.08</v>
      </c>
      <c r="G48" s="23" t="s">
        <v>4</v>
      </c>
      <c r="H48" s="2"/>
    </row>
    <row r="49" spans="1:8" x14ac:dyDescent="0.25">
      <c r="A49" s="2"/>
      <c r="B49" s="47" t="s">
        <v>165</v>
      </c>
      <c r="C49" s="41">
        <v>2016</v>
      </c>
      <c r="D49" s="28">
        <v>50</v>
      </c>
      <c r="E49" s="27">
        <v>1623463.61</v>
      </c>
      <c r="F49" s="12">
        <f t="shared" si="0"/>
        <v>32469.272200000003</v>
      </c>
      <c r="G49" s="23" t="s">
        <v>4</v>
      </c>
      <c r="H49" s="2"/>
    </row>
    <row r="50" spans="1:8" x14ac:dyDescent="0.25">
      <c r="A50" s="2"/>
      <c r="B50" s="47" t="s">
        <v>160</v>
      </c>
      <c r="C50" s="41">
        <v>2016</v>
      </c>
      <c r="D50" s="28">
        <v>75</v>
      </c>
      <c r="E50" s="27">
        <v>33053.550000000003</v>
      </c>
      <c r="F50" s="12">
        <f t="shared" si="0"/>
        <v>440.71400000000006</v>
      </c>
      <c r="G50" s="23" t="s">
        <v>4</v>
      </c>
      <c r="H50" s="2"/>
    </row>
    <row r="51" spans="1:8" x14ac:dyDescent="0.25">
      <c r="A51" s="2"/>
      <c r="B51" s="47" t="s">
        <v>155</v>
      </c>
      <c r="C51" s="41">
        <v>2016</v>
      </c>
      <c r="D51" s="28">
        <v>75</v>
      </c>
      <c r="E51" s="27">
        <v>398921</v>
      </c>
      <c r="F51" s="12">
        <f t="shared" si="0"/>
        <v>5318.9466666666667</v>
      </c>
      <c r="G51" s="23" t="s">
        <v>4</v>
      </c>
      <c r="H51" s="2"/>
    </row>
    <row r="52" spans="1:8" x14ac:dyDescent="0.25">
      <c r="A52" s="2"/>
      <c r="B52" s="47" t="s">
        <v>153</v>
      </c>
      <c r="C52" s="41">
        <v>2016</v>
      </c>
      <c r="D52" s="28">
        <v>75</v>
      </c>
      <c r="E52" s="27">
        <v>306722.42</v>
      </c>
      <c r="F52" s="12">
        <f t="shared" si="0"/>
        <v>4089.6322666666665</v>
      </c>
      <c r="G52" s="23" t="s">
        <v>4</v>
      </c>
      <c r="H52" s="2"/>
    </row>
    <row r="53" spans="1:8" x14ac:dyDescent="0.25">
      <c r="A53" s="2"/>
      <c r="B53" s="47" t="s">
        <v>160</v>
      </c>
      <c r="C53" s="41">
        <v>2016</v>
      </c>
      <c r="D53" s="28">
        <v>75</v>
      </c>
      <c r="E53" s="27">
        <v>79552.5</v>
      </c>
      <c r="F53" s="12">
        <f t="shared" si="0"/>
        <v>1060.7</v>
      </c>
      <c r="G53" s="23" t="s">
        <v>4</v>
      </c>
      <c r="H53" s="2"/>
    </row>
    <row r="54" spans="1:8" x14ac:dyDescent="0.25">
      <c r="A54" s="2"/>
      <c r="B54" s="47" t="s">
        <v>160</v>
      </c>
      <c r="C54" s="41">
        <v>2016</v>
      </c>
      <c r="D54" s="28">
        <v>75</v>
      </c>
      <c r="E54" s="27">
        <v>324283</v>
      </c>
      <c r="F54" s="12">
        <f t="shared" si="0"/>
        <v>4323.7733333333335</v>
      </c>
      <c r="G54" s="23" t="s">
        <v>4</v>
      </c>
      <c r="H54" s="2"/>
    </row>
    <row r="55" spans="1:8" x14ac:dyDescent="0.25">
      <c r="A55" s="2"/>
      <c r="B55" s="47" t="s">
        <v>153</v>
      </c>
      <c r="C55" s="41">
        <v>2016</v>
      </c>
      <c r="D55" s="28">
        <v>75</v>
      </c>
      <c r="E55" s="27">
        <v>400281.25</v>
      </c>
      <c r="F55" s="12">
        <f t="shared" si="0"/>
        <v>5337.083333333333</v>
      </c>
      <c r="G55" s="23" t="s">
        <v>4</v>
      </c>
      <c r="H55" s="2"/>
    </row>
    <row r="56" spans="1:8" x14ac:dyDescent="0.25">
      <c r="A56" s="2"/>
      <c r="B56" s="47" t="s">
        <v>156</v>
      </c>
      <c r="C56" s="41">
        <v>2016</v>
      </c>
      <c r="D56" s="28">
        <v>75</v>
      </c>
      <c r="E56" s="27">
        <v>70476</v>
      </c>
      <c r="F56" s="12">
        <f t="shared" si="0"/>
        <v>939.68</v>
      </c>
      <c r="G56" s="23" t="s">
        <v>4</v>
      </c>
      <c r="H56" s="2"/>
    </row>
    <row r="57" spans="1:8" x14ac:dyDescent="0.25">
      <c r="A57" s="2"/>
      <c r="B57" s="47" t="s">
        <v>160</v>
      </c>
      <c r="C57" s="41">
        <v>2016</v>
      </c>
      <c r="D57" s="28">
        <v>75</v>
      </c>
      <c r="E57" s="27">
        <v>91493.5</v>
      </c>
      <c r="F57" s="12">
        <f t="shared" si="0"/>
        <v>1219.9133333333334</v>
      </c>
      <c r="G57" s="23" t="s">
        <v>4</v>
      </c>
      <c r="H57" s="2"/>
    </row>
    <row r="58" spans="1:8" x14ac:dyDescent="0.25">
      <c r="A58" s="2"/>
      <c r="B58" s="47" t="s">
        <v>155</v>
      </c>
      <c r="C58" s="41">
        <v>2016</v>
      </c>
      <c r="D58" s="28">
        <v>75</v>
      </c>
      <c r="E58" s="27">
        <v>64837</v>
      </c>
      <c r="F58" s="12">
        <f t="shared" si="0"/>
        <v>864.49333333333334</v>
      </c>
      <c r="G58" s="23" t="s">
        <v>4</v>
      </c>
      <c r="H58" s="2"/>
    </row>
    <row r="59" spans="1:8" x14ac:dyDescent="0.25">
      <c r="A59" s="2"/>
      <c r="B59" s="47" t="s">
        <v>166</v>
      </c>
      <c r="C59" s="41">
        <v>2016</v>
      </c>
      <c r="D59" s="28">
        <v>10</v>
      </c>
      <c r="E59" s="27">
        <v>30000</v>
      </c>
      <c r="F59" s="12">
        <f t="shared" si="0"/>
        <v>3000</v>
      </c>
      <c r="G59" s="23" t="s">
        <v>4</v>
      </c>
      <c r="H59" s="2"/>
    </row>
    <row r="60" spans="1:8" ht="26.25" x14ac:dyDescent="0.25">
      <c r="A60" s="2"/>
      <c r="B60" s="47" t="s">
        <v>154</v>
      </c>
      <c r="C60" s="41">
        <v>2016</v>
      </c>
      <c r="D60" s="28">
        <v>30</v>
      </c>
      <c r="E60" s="27">
        <v>53315</v>
      </c>
      <c r="F60" s="12">
        <f t="shared" si="0"/>
        <v>1777.1666666666667</v>
      </c>
      <c r="G60" s="23" t="s">
        <v>4</v>
      </c>
      <c r="H60" s="2"/>
    </row>
    <row r="61" spans="1:8" x14ac:dyDescent="0.25">
      <c r="A61" s="2"/>
      <c r="B61" s="47" t="s">
        <v>155</v>
      </c>
      <c r="C61" s="41">
        <v>2016</v>
      </c>
      <c r="D61" s="28">
        <v>75</v>
      </c>
      <c r="E61" s="27">
        <v>13710.5</v>
      </c>
      <c r="F61" s="12">
        <f t="shared" si="0"/>
        <v>182.80666666666667</v>
      </c>
      <c r="G61" s="23" t="s">
        <v>4</v>
      </c>
      <c r="H61" s="2"/>
    </row>
    <row r="62" spans="1:8" x14ac:dyDescent="0.25">
      <c r="A62" s="2"/>
      <c r="B62" s="47" t="s">
        <v>156</v>
      </c>
      <c r="C62" s="41">
        <v>2016</v>
      </c>
      <c r="D62" s="28">
        <v>75</v>
      </c>
      <c r="E62" s="27">
        <v>134280</v>
      </c>
      <c r="F62" s="12">
        <f t="shared" si="0"/>
        <v>1790.4</v>
      </c>
      <c r="G62" s="23" t="s">
        <v>4</v>
      </c>
      <c r="H62" s="2"/>
    </row>
    <row r="63" spans="1:8" x14ac:dyDescent="0.25">
      <c r="A63" s="2"/>
      <c r="B63" s="47" t="s">
        <v>165</v>
      </c>
      <c r="C63" s="41">
        <v>2016</v>
      </c>
      <c r="D63" s="28">
        <v>50</v>
      </c>
      <c r="E63" s="27">
        <v>79176</v>
      </c>
      <c r="F63" s="12">
        <f t="shared" si="0"/>
        <v>1583.52</v>
      </c>
      <c r="G63" s="23" t="s">
        <v>4</v>
      </c>
      <c r="H63" s="2"/>
    </row>
    <row r="64" spans="1:8" x14ac:dyDescent="0.25">
      <c r="A64" s="2"/>
      <c r="B64" s="47" t="s">
        <v>153</v>
      </c>
      <c r="C64" s="41">
        <v>2016</v>
      </c>
      <c r="D64" s="28">
        <v>75</v>
      </c>
      <c r="E64" s="27">
        <v>131281</v>
      </c>
      <c r="F64" s="12">
        <f t="shared" si="0"/>
        <v>1750.4133333333334</v>
      </c>
      <c r="G64" s="23" t="s">
        <v>4</v>
      </c>
      <c r="H64" s="2"/>
    </row>
    <row r="65" spans="1:8" x14ac:dyDescent="0.25">
      <c r="A65" s="2"/>
      <c r="B65" s="47" t="s">
        <v>155</v>
      </c>
      <c r="C65" s="41">
        <v>2016</v>
      </c>
      <c r="D65" s="28">
        <v>75</v>
      </c>
      <c r="E65" s="27">
        <v>872778</v>
      </c>
      <c r="F65" s="12">
        <f t="shared" si="0"/>
        <v>11637.04</v>
      </c>
      <c r="G65" s="23" t="s">
        <v>4</v>
      </c>
      <c r="H65" s="2"/>
    </row>
    <row r="66" spans="1:8" ht="39" x14ac:dyDescent="0.25">
      <c r="A66" s="2"/>
      <c r="B66" s="47" t="s">
        <v>167</v>
      </c>
      <c r="C66" s="41">
        <v>2016</v>
      </c>
      <c r="D66" s="28">
        <v>10</v>
      </c>
      <c r="E66" s="27">
        <v>67407</v>
      </c>
      <c r="F66" s="12">
        <f t="shared" si="0"/>
        <v>6740.7</v>
      </c>
      <c r="G66" s="23" t="s">
        <v>4</v>
      </c>
      <c r="H66" s="2"/>
    </row>
    <row r="67" spans="1:8" ht="39" x14ac:dyDescent="0.25">
      <c r="A67" s="2"/>
      <c r="B67" s="47" t="s">
        <v>168</v>
      </c>
      <c r="C67" s="41">
        <v>2016</v>
      </c>
      <c r="D67" s="28">
        <v>75</v>
      </c>
      <c r="E67" s="27">
        <v>99037.36</v>
      </c>
      <c r="F67" s="12">
        <f t="shared" si="0"/>
        <v>1320.4981333333333</v>
      </c>
      <c r="G67" s="23" t="s">
        <v>4</v>
      </c>
      <c r="H67" s="2"/>
    </row>
    <row r="68" spans="1:8" ht="26.25" x14ac:dyDescent="0.25">
      <c r="A68" s="2"/>
      <c r="B68" s="47" t="s">
        <v>169</v>
      </c>
      <c r="C68" s="41">
        <v>2016</v>
      </c>
      <c r="D68" s="28">
        <v>20</v>
      </c>
      <c r="E68" s="27">
        <v>1106871.57</v>
      </c>
      <c r="F68" s="12">
        <f t="shared" si="0"/>
        <v>55343.578500000003</v>
      </c>
      <c r="G68" s="23" t="s">
        <v>4</v>
      </c>
      <c r="H68" s="2"/>
    </row>
    <row r="69" spans="1:8" x14ac:dyDescent="0.25">
      <c r="A69" s="2"/>
      <c r="B69" s="47" t="s">
        <v>170</v>
      </c>
      <c r="C69" s="41">
        <v>2016</v>
      </c>
      <c r="D69" s="28">
        <v>10</v>
      </c>
      <c r="E69" s="27">
        <v>9000</v>
      </c>
      <c r="F69" s="12">
        <f t="shared" si="0"/>
        <v>900</v>
      </c>
      <c r="G69" s="23" t="s">
        <v>4</v>
      </c>
      <c r="H69" s="2"/>
    </row>
    <row r="70" spans="1:8" ht="39" x14ac:dyDescent="0.25">
      <c r="A70" s="2"/>
      <c r="B70" s="47" t="s">
        <v>171</v>
      </c>
      <c r="C70" s="41">
        <v>2016</v>
      </c>
      <c r="D70" s="28">
        <v>75</v>
      </c>
      <c r="E70" s="27">
        <v>1564033.5</v>
      </c>
      <c r="F70" s="12">
        <f t="shared" si="0"/>
        <v>20853.78</v>
      </c>
      <c r="G70" s="23" t="s">
        <v>4</v>
      </c>
      <c r="H70" s="2"/>
    </row>
    <row r="71" spans="1:8" ht="39" x14ac:dyDescent="0.25">
      <c r="A71" s="2"/>
      <c r="B71" s="47" t="s">
        <v>172</v>
      </c>
      <c r="C71" s="41">
        <v>2016</v>
      </c>
      <c r="D71" s="28">
        <v>10</v>
      </c>
      <c r="E71" s="27">
        <v>80571</v>
      </c>
      <c r="F71" s="12">
        <f t="shared" si="0"/>
        <v>8057.1</v>
      </c>
      <c r="G71" s="23" t="s">
        <v>4</v>
      </c>
      <c r="H71" s="2"/>
    </row>
    <row r="72" spans="1:8" x14ac:dyDescent="0.25">
      <c r="A72" s="2"/>
      <c r="B72" s="47" t="s">
        <v>173</v>
      </c>
      <c r="C72" s="41">
        <v>2016</v>
      </c>
      <c r="D72" s="28">
        <v>20</v>
      </c>
      <c r="E72" s="27">
        <v>202036.89</v>
      </c>
      <c r="F72" s="12">
        <f t="shared" si="0"/>
        <v>10101.844500000001</v>
      </c>
      <c r="G72" s="23" t="s">
        <v>4</v>
      </c>
      <c r="H72" s="2"/>
    </row>
    <row r="73" spans="1:8" x14ac:dyDescent="0.25">
      <c r="A73" s="2"/>
      <c r="B73" s="47" t="s">
        <v>174</v>
      </c>
      <c r="C73" s="41">
        <v>2016</v>
      </c>
      <c r="D73" s="28">
        <v>75</v>
      </c>
      <c r="E73" s="27">
        <v>250123.17</v>
      </c>
      <c r="F73" s="12">
        <f t="shared" si="0"/>
        <v>3334.9756000000002</v>
      </c>
      <c r="G73" s="23" t="s">
        <v>4</v>
      </c>
      <c r="H73" s="2"/>
    </row>
    <row r="74" spans="1:8" ht="39" x14ac:dyDescent="0.25">
      <c r="A74" s="2"/>
      <c r="B74" s="47" t="s">
        <v>175</v>
      </c>
      <c r="C74" s="41">
        <v>2016</v>
      </c>
      <c r="D74" s="28">
        <v>75</v>
      </c>
      <c r="E74" s="27">
        <v>109179.65</v>
      </c>
      <c r="F74" s="12">
        <f t="shared" si="0"/>
        <v>1455.7286666666666</v>
      </c>
      <c r="G74" s="23" t="s">
        <v>4</v>
      </c>
      <c r="H74" s="2"/>
    </row>
    <row r="75" spans="1:8" ht="39" x14ac:dyDescent="0.25">
      <c r="A75" s="2"/>
      <c r="B75" s="47" t="s">
        <v>176</v>
      </c>
      <c r="C75" s="41">
        <v>2016</v>
      </c>
      <c r="D75" s="28">
        <v>20</v>
      </c>
      <c r="E75" s="27">
        <v>46722</v>
      </c>
      <c r="F75" s="12">
        <f t="shared" si="0"/>
        <v>2336.1</v>
      </c>
      <c r="G75" s="23" t="s">
        <v>4</v>
      </c>
      <c r="H75" s="2"/>
    </row>
    <row r="76" spans="1:8" ht="39" x14ac:dyDescent="0.25">
      <c r="A76" s="2"/>
      <c r="B76" s="47" t="s">
        <v>177</v>
      </c>
      <c r="C76" s="41">
        <v>2016</v>
      </c>
      <c r="D76" s="28">
        <v>10</v>
      </c>
      <c r="E76" s="27">
        <v>10362</v>
      </c>
      <c r="F76" s="12">
        <f t="shared" si="0"/>
        <v>1036.2</v>
      </c>
      <c r="G76" s="23" t="s">
        <v>4</v>
      </c>
      <c r="H76" s="2"/>
    </row>
    <row r="77" spans="1:8" x14ac:dyDescent="0.25">
      <c r="A77" s="2"/>
      <c r="B77" s="47" t="s">
        <v>170</v>
      </c>
      <c r="C77" s="41">
        <v>2016</v>
      </c>
      <c r="D77" s="28">
        <v>10</v>
      </c>
      <c r="E77" s="27">
        <v>1129162.75</v>
      </c>
      <c r="F77" s="12">
        <f t="shared" si="0"/>
        <v>112916.27499999999</v>
      </c>
      <c r="G77" s="23" t="s">
        <v>4</v>
      </c>
      <c r="H77" s="2"/>
    </row>
    <row r="78" spans="1:8" x14ac:dyDescent="0.25">
      <c r="A78" s="2"/>
      <c r="B78" s="94" t="s">
        <v>76</v>
      </c>
      <c r="C78" s="95"/>
      <c r="D78" s="95"/>
      <c r="E78" s="96"/>
      <c r="F78" s="21">
        <f>SUM(F10:F77)</f>
        <v>1086487.3280666668</v>
      </c>
      <c r="G78" s="22" t="s">
        <v>4</v>
      </c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DFE9" sheet="1" objects="1" scenarios="1"/>
  <mergeCells count="4">
    <mergeCell ref="B78:E7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2017-09-29T11:27:47Z</dcterms:modified>
</cp:coreProperties>
</file>