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 activeTab="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K3" i="16" l="1"/>
  <c r="J3" i="16"/>
  <c r="I3" i="16"/>
  <c r="H3" i="16"/>
  <c r="G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J4" i="16" l="1"/>
  <c r="K4" i="16"/>
  <c r="O3" i="16" l="1"/>
  <c r="P3" i="16"/>
  <c r="F3" i="17"/>
  <c r="G3" i="17"/>
  <c r="G4" i="16" l="1"/>
  <c r="H4" i="16"/>
  <c r="I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K6" i="16"/>
  <c r="J5" i="16"/>
  <c r="K5" i="16"/>
  <c r="J6" i="16"/>
  <c r="G5" i="17"/>
  <c r="F4" i="17"/>
  <c r="E5" i="17"/>
  <c r="G4" i="17"/>
  <c r="E4" i="17"/>
  <c r="F5" i="17"/>
  <c r="I5" i="16"/>
  <c r="N3" i="16" s="1"/>
  <c r="H6" i="16"/>
  <c r="G5" i="16"/>
  <c r="I6" i="16"/>
  <c r="J3" i="24"/>
  <c r="G6" i="16"/>
  <c r="H5" i="16"/>
  <c r="M3" i="16" s="1"/>
  <c r="M3" i="24" l="1"/>
  <c r="B9" i="12" s="1"/>
  <c r="B10" i="12" s="1"/>
  <c r="L3" i="16"/>
  <c r="H3" i="17"/>
  <c r="B4" i="12" s="1"/>
  <c r="I2" i="15"/>
  <c r="K2" i="15" s="1"/>
  <c r="B2" i="12" s="1"/>
  <c r="Q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<sst xmlns="http://schemas.openxmlformats.org/spreadsheetml/2006/main" count="120" uniqueCount="78">
  <si>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</si>
  <si>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</si>
  <si>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</si>
  <si>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</si>
  <si>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</si>
  <si>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</si>
  <si>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</si>
  <si>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</si>
  <si>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</si>
  <si>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</si>
  <si>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</si>
  <si>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</si>
  <si>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</si>
  <si>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</si>
  <si>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</si>
  <si>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</si>
  <si>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</si>
  <si>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</si>
  <si>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</si>
  <si>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</si>
  <si>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</si>
  <si>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</si>
  <si>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</si>
  <si>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>Miljøcertificering</t>
  </si>
  <si>
    <t>Slamhåndtering 2014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</si>
  <si>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</si>
  <si>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</si>
  <si>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</si>
  <si>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</si>
  <si>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</si>
  <si>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</si>
  <si>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</si>
  <si>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</si>
  <si>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</si>
  <si>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</si>
  <si>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</si>
  <si>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</si>
  <si>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</si>
  <si>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</si>
  <si>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</si>
  <si>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</si>
  <si>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</si>
  <si>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</si>
  <si>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</si>
  <si>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</si>
  <si>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</si>
  <si>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</si>
  <si>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</si>
  <si>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</si>
  <si>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</si>
  <si>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</si>
  <si>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Skoletjeneste</t>
  </si>
  <si>
    <t>Øget kendskab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</si>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</sst>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workbookViewId="0">
      <selection activeCell="A3" sqref="A3"/>
    </sheetView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25201627.076433331</v>
      </c>
      <c r="C2" t="s">
        <v>11</v>
      </c>
    </row>
    <row r="3" spans="1:3" s="2" customFormat="1" x14ac:dyDescent="0.25">
      <c r="A3" s="5" t="s">
        <v>8</v>
      </c>
      <c r="B3" s="36">
        <f>'Miljø- og servicemål'!Q3</f>
        <v>432436.99782759446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98752.40466666664</v>
      </c>
      <c r="C4" t="s">
        <v>11</v>
      </c>
    </row>
    <row r="5" spans="1:3" s="26" customFormat="1" x14ac:dyDescent="0.25">
      <c r="A5" s="3" t="s">
        <v>12</v>
      </c>
      <c r="B5" s="48">
        <f>SUM(B2:B4)</f>
        <v>25732816.47892759</v>
      </c>
      <c r="C5" s="62" t="s">
        <v>11</v>
      </c>
    </row>
    <row r="6" spans="1:3" x14ac:dyDescent="0.25">
      <c r="A6" s="47" t="s">
        <v>0</v>
      </c>
      <c r="B6" s="38">
        <f>Investeringer!E3</f>
        <v>44447001.847937472</v>
      </c>
      <c r="C6" s="23" t="s">
        <v>11</v>
      </c>
    </row>
    <row r="7" spans="1:3" x14ac:dyDescent="0.25">
      <c r="A7" s="4" t="s">
        <v>1</v>
      </c>
      <c r="B7" s="35">
        <f>Investeringer!F3</f>
        <v>6703767.4000818394</v>
      </c>
      <c r="C7" t="s">
        <v>11</v>
      </c>
    </row>
    <row r="8" spans="1:3" x14ac:dyDescent="0.25">
      <c r="A8" s="4" t="s">
        <v>2</v>
      </c>
      <c r="B8" s="35">
        <f>Investeringer!G3</f>
        <v>914624.99481362477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2157541.9300000002</v>
      </c>
      <c r="C9" t="s">
        <v>11</v>
      </c>
    </row>
    <row r="10" spans="1:3" s="22" customFormat="1" x14ac:dyDescent="0.25">
      <c r="A10" s="3" t="s">
        <v>49</v>
      </c>
      <c r="B10" s="48">
        <f>SUM(B6:B9)</f>
        <v>54222936.172832929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6797871.3599999994</v>
      </c>
      <c r="C11" t="s">
        <v>11</v>
      </c>
    </row>
    <row r="12" spans="1:3" s="22" customFormat="1" x14ac:dyDescent="0.25">
      <c r="A12" s="3" t="s">
        <v>71</v>
      </c>
      <c r="B12" s="48">
        <f>SUM(B11:B11)</f>
        <v>6797871.3599999994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61</v>
      </c>
      <c r="B14" s="37">
        <f>SUM(B5,B10,B12)</f>
        <v>86753624.011760518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55</v>
      </c>
      <c r="B16" s="37">
        <f>B14*Pristalsregulering!C8*Pristalsregulering!C9</f>
        <v>87521544.535570368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62</v>
      </c>
      <c r="D1" s="59" t="s">
        <v>63</v>
      </c>
      <c r="E1" s="59" t="s">
        <v>56</v>
      </c>
      <c r="F1" s="52" t="s">
        <v>64</v>
      </c>
      <c r="G1" s="52" t="s">
        <v>72</v>
      </c>
      <c r="H1" s="52" t="s">
        <v>65</v>
      </c>
      <c r="I1" s="52" t="s">
        <v>50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49">
        <v>24649068.789999999</v>
      </c>
      <c r="C2" s="49">
        <v>0</v>
      </c>
      <c r="D2" s="49">
        <f>B2+C2</f>
        <v>24649068.789999999</v>
      </c>
      <c r="E2" s="50">
        <f>D2</f>
        <v>24649068.789999999</v>
      </c>
      <c r="F2" s="49">
        <v>28076829.752360448</v>
      </c>
      <c r="G2" s="49">
        <v>0</v>
      </c>
      <c r="H2" s="49">
        <f>F2-G2</f>
        <v>28076829.752360448</v>
      </c>
      <c r="I2" s="49">
        <f>AVERAGEIF(E2:E4,"&lt;&gt;0")</f>
        <v>25201627.076433331</v>
      </c>
      <c r="J2" s="49">
        <v>21525811.803803071</v>
      </c>
      <c r="K2" s="39">
        <f>IF(H2&gt;I2,IF(I2&gt;J2,I2,J2),H2)</f>
        <v>25201627.076433331</v>
      </c>
    </row>
    <row r="3" spans="1:11" s="23" customFormat="1" x14ac:dyDescent="0.25">
      <c r="A3" s="28">
        <v>2014</v>
      </c>
      <c r="B3" s="49">
        <v>24307916.050000001</v>
      </c>
      <c r="C3" s="49"/>
      <c r="D3" s="49">
        <f t="shared" ref="D3:D4" si="0">B3+C3</f>
        <v>24307916.050000001</v>
      </c>
      <c r="E3" s="50">
        <f>D3*Pristalsregulering!C7</f>
        <v>24327362.38284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26213955</v>
      </c>
      <c r="C4" s="49"/>
      <c r="D4" s="49">
        <f t="shared" si="0"/>
        <v>26213955</v>
      </c>
      <c r="E4" s="50">
        <f>D4*Pristalsregulering!$C$6*Pristalsregulering!$C$7</f>
        <v>26628450.056459997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>
      <selection activeCell="F3" sqref="F3"/>
    </sheetView>
  </sheetViews>
  <sheetFormatPr defaultColWidth="0" defaultRowHeight="15" zeroHeight="1" x14ac:dyDescent="0.25"/>
  <cols>
    <col min="1" max="1" width="12.28515625" customWidth="1"/>
    <col min="2" max="4" width="30.7109375" customWidth="1"/>
    <col min="5" max="6" width="30.7109375" style="22" customWidth="1"/>
    <col min="7" max="7" width="30.7109375" style="55" customWidth="1"/>
    <col min="8" max="9" width="30.7109375" customWidth="1"/>
    <col min="10" max="11" width="30.7109375" style="22" customWidth="1"/>
    <col min="12" max="12" width="30.7109375" style="55" customWidth="1"/>
    <col min="13" max="14" width="30.7109375" customWidth="1"/>
    <col min="15" max="16" width="30.7109375" style="22" customWidth="1"/>
    <col min="17" max="17" width="30.7109375" style="55" customWidth="1"/>
    <col min="18" max="18" width="9.140625" hidden="1" customWidth="1"/>
    <col min="19" max="28" width="0" hidden="1" customWidth="1"/>
    <col min="29" max="29" width="9.140625" hidden="1" customWidth="1"/>
    <col min="30" max="74" width="0" hidden="1" customWidth="1"/>
    <col min="75" max="75" width="9.140625" hidden="1" customWidth="1"/>
    <col min="76" max="85" width="0" hidden="1" customWidth="1"/>
    <col min="86" max="86" width="9.140625" hidden="1" customWidth="1"/>
    <col min="87" max="93" width="0" hidden="1" customWidth="1"/>
    <col min="94" max="95" width="9.140625" hidden="1" customWidth="1"/>
    <col min="96" max="102" width="0" hidden="1" customWidth="1"/>
    <col min="103" max="103" width="9.140625" hidden="1" customWidth="1"/>
    <col min="104" max="108" width="0" hidden="1" customWidth="1"/>
    <col min="109" max="109" width="9.140625" hidden="1" customWidth="1"/>
    <col min="110" max="119" width="0" hidden="1" customWidth="1"/>
    <col min="120" max="120" width="9.140625" hidden="1" customWidth="1"/>
    <col min="121" max="127" width="0" hidden="1" customWidth="1"/>
    <col min="128" max="129" width="9.140625" hidden="1" customWidth="1"/>
    <col min="130" max="136" width="0" hidden="1" customWidth="1"/>
    <col min="137" max="137" width="9.140625" hidden="1" customWidth="1"/>
    <col min="138" max="142" width="0" hidden="1" customWidth="1"/>
    <col min="143" max="143" width="9.140625" hidden="1" customWidth="1"/>
    <col min="144" max="150" width="0" hidden="1" customWidth="1"/>
    <col min="151" max="152" width="9.140625" hidden="1" customWidth="1"/>
    <col min="153" max="159" width="0" hidden="1" customWidth="1"/>
    <col min="160" max="160" width="9.140625" hidden="1" customWidth="1"/>
    <col min="161" max="165" width="0" hidden="1" customWidth="1"/>
    <col min="166" max="166" width="9.140625" hidden="1" customWidth="1"/>
    <col min="167" max="176" width="0" hidden="1" customWidth="1"/>
    <col min="177" max="177" width="9.140625" hidden="1" customWidth="1"/>
    <col min="178" max="184" width="0" hidden="1" customWidth="1"/>
    <col min="185" max="186" width="9.140625" hidden="1" customWidth="1"/>
    <col min="187" max="193" width="0" hidden="1" customWidth="1"/>
    <col min="194" max="194" width="9.140625" hidden="1" customWidth="1"/>
    <col min="195" max="201" width="0" hidden="1" customWidth="1"/>
    <col min="202" max="203" width="9.140625" hidden="1" customWidth="1"/>
    <col min="204" max="210" width="0" hidden="1" customWidth="1"/>
    <col min="211" max="211" width="9.140625" hidden="1" customWidth="1"/>
    <col min="212" max="218" width="0" hidden="1" customWidth="1"/>
    <col min="219" max="220" width="9.140625" hidden="1" customWidth="1"/>
    <col min="221" max="227" width="0" hidden="1" customWidth="1"/>
    <col min="228" max="228" width="9.140625" hidden="1" customWidth="1"/>
    <col min="229" max="235" width="0" hidden="1" customWidth="1"/>
    <col min="236" max="237" width="9.140625" hidden="1" customWidth="1"/>
    <col min="238" max="244" width="0" hidden="1" customWidth="1"/>
    <col min="245" max="245" width="9.140625" hidden="1" customWidth="1"/>
    <col min="246" max="250" width="0" hidden="1" customWidth="1"/>
    <col min="251" max="251" width="9.140625" hidden="1" customWidth="1"/>
    <col min="252" max="258" width="0" hidden="1" customWidth="1"/>
    <col min="259" max="260" width="9.140625" hidden="1" customWidth="1"/>
    <col min="261" max="267" width="0" hidden="1" customWidth="1"/>
    <col min="268" max="268" width="9.140625" hidden="1" customWidth="1"/>
    <col min="269" max="275" width="0" hidden="1" customWidth="1"/>
    <col min="276" max="277" width="9.140625" hidden="1" customWidth="1"/>
    <col min="278" max="284" width="0" hidden="1" customWidth="1"/>
    <col min="285" max="285" width="9.140625" hidden="1" customWidth="1"/>
    <col min="286" max="292" width="0" hidden="1" customWidth="1"/>
    <col min="293" max="294" width="9.140625" hidden="1" customWidth="1"/>
    <col min="295" max="301" width="0" hidden="1" customWidth="1"/>
    <col min="302" max="302" width="9.140625" hidden="1" customWidth="1"/>
    <col min="303" max="309" width="0" hidden="1" customWidth="1"/>
    <col min="310" max="311" width="9.140625" hidden="1" customWidth="1"/>
    <col min="312" max="318" width="0" hidden="1" customWidth="1"/>
    <col min="319" max="319" width="9.140625" hidden="1" customWidth="1"/>
    <col min="320" max="324" width="0" hidden="1" customWidth="1"/>
    <col min="325" max="325" width="9.140625" hidden="1" customWidth="1"/>
    <col min="326" max="332" width="0" hidden="1" customWidth="1"/>
    <col min="333" max="334" width="9.140625" hidden="1" customWidth="1"/>
    <col min="335" max="341" width="0" hidden="1" customWidth="1"/>
    <col min="342" max="16384" width="9.140625" hidden="1"/>
  </cols>
  <sheetData>
    <row r="1" spans="1:17" s="27" customFormat="1" ht="15.75" thickBot="1" x14ac:dyDescent="0.3">
      <c r="A1" s="9"/>
      <c r="B1" s="33" t="s">
        <v>74</v>
      </c>
      <c r="C1" s="33"/>
      <c r="D1" s="33"/>
      <c r="E1" s="33"/>
      <c r="F1" s="33"/>
      <c r="G1" s="63" t="s">
        <v>75</v>
      </c>
      <c r="H1" s="10"/>
      <c r="I1" s="10"/>
      <c r="J1" s="10"/>
      <c r="K1" s="10"/>
      <c r="L1" s="63" t="s">
        <v>76</v>
      </c>
      <c r="M1" s="10"/>
      <c r="N1" s="10"/>
      <c r="O1" s="10"/>
      <c r="P1" s="10"/>
      <c r="Q1" s="63"/>
    </row>
    <row r="2" spans="1:17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34" t="s">
        <v>51</v>
      </c>
      <c r="F2" s="34" t="s">
        <v>52</v>
      </c>
      <c r="G2" s="56" t="s">
        <v>22</v>
      </c>
      <c r="H2" s="34" t="s">
        <v>23</v>
      </c>
      <c r="I2" s="34" t="s">
        <v>24</v>
      </c>
      <c r="J2" s="34" t="s">
        <v>51</v>
      </c>
      <c r="K2" s="34" t="s">
        <v>52</v>
      </c>
      <c r="L2" s="56" t="s">
        <v>22</v>
      </c>
      <c r="M2" s="34" t="s">
        <v>23</v>
      </c>
      <c r="N2" s="34" t="s">
        <v>24</v>
      </c>
      <c r="O2" s="34" t="s">
        <v>51</v>
      </c>
      <c r="P2" s="34" t="s">
        <v>52</v>
      </c>
      <c r="Q2" s="53" t="s">
        <v>25</v>
      </c>
    </row>
    <row r="3" spans="1:17" s="22" customFormat="1" x14ac:dyDescent="0.25">
      <c r="A3" s="28">
        <v>2016</v>
      </c>
      <c r="B3" s="72">
        <v>0</v>
      </c>
      <c r="C3" s="72">
        <v>28092.11</v>
      </c>
      <c r="D3" s="72">
        <v>0</v>
      </c>
      <c r="E3" s="72">
        <v>56485.68</v>
      </c>
      <c r="F3" s="72">
        <v>67093.77</v>
      </c>
      <c r="G3" s="45">
        <f>B3/Pristalsregulering!$C$8</f>
        <v>0</v>
      </c>
      <c r="H3" s="35">
        <f>C3/Pristalsregulering!$C$8</f>
        <v>28199.267215418593</v>
      </c>
      <c r="I3" s="35">
        <f>D3/Pristalsregulering!$C$8</f>
        <v>0</v>
      </c>
      <c r="J3" s="35">
        <f>E3/Pristalsregulering!$C$8</f>
        <v>56701.144348524394</v>
      </c>
      <c r="K3" s="35">
        <f>F3/Pristalsregulering!$C$8</f>
        <v>67349.698855651484</v>
      </c>
      <c r="L3" s="45">
        <f>IF(G4=0,0,AVERAGEIF(G4:G6,"&lt;&gt;0"))+G3</f>
        <v>0</v>
      </c>
      <c r="M3" s="38">
        <f>IF(H4=0,0,AVERAGEIF(H4:H6,"&lt;&gt;0"))+H3</f>
        <v>28199.267215418593</v>
      </c>
      <c r="N3" s="38">
        <f>IF(I4=0,0,AVERAGEIF(I4:I6,"&lt;&gt;0"))+I3</f>
        <v>280186.88740800001</v>
      </c>
      <c r="O3" s="38">
        <f>IF(J4=0,0,AVERAGEIF(J4:J6,"&lt;&gt;0"))+J3</f>
        <v>56701.144348524394</v>
      </c>
      <c r="P3" s="38">
        <f>IF(K4=0,0,AVERAGEIF(K4:K6,"&lt;&gt;0"))+K3</f>
        <v>67349.698855651484</v>
      </c>
      <c r="Q3" s="57">
        <f>SUM(L3:P3)</f>
        <v>432436.99782759446</v>
      </c>
    </row>
    <row r="4" spans="1:17" x14ac:dyDescent="0.25">
      <c r="A4" s="28">
        <v>2015</v>
      </c>
      <c r="B4" s="35"/>
      <c r="C4" s="35"/>
      <c r="D4" s="35">
        <v>331676.09999999998</v>
      </c>
      <c r="E4" s="35"/>
      <c r="F4" s="35"/>
      <c r="G4" s="45">
        <f t="shared" ref="G4:K4" si="0">B4</f>
        <v>0</v>
      </c>
      <c r="H4" s="35">
        <f t="shared" si="0"/>
        <v>0</v>
      </c>
      <c r="I4" s="35">
        <f t="shared" si="0"/>
        <v>331676.09999999998</v>
      </c>
      <c r="J4" s="35">
        <f t="shared" si="0"/>
        <v>0</v>
      </c>
      <c r="K4" s="35">
        <f t="shared" si="0"/>
        <v>0</v>
      </c>
      <c r="L4" s="45"/>
      <c r="M4" s="38"/>
      <c r="N4" s="38"/>
      <c r="O4" s="38"/>
      <c r="P4" s="38"/>
      <c r="Q4" s="54"/>
    </row>
    <row r="5" spans="1:17" x14ac:dyDescent="0.25">
      <c r="A5" s="28">
        <v>2014</v>
      </c>
      <c r="B5" s="35"/>
      <c r="C5" s="35"/>
      <c r="D5" s="35">
        <v>273919.40000000002</v>
      </c>
      <c r="E5" s="35"/>
      <c r="F5" s="35"/>
      <c r="G5" s="45">
        <f>B5*Pristalsregulering!$C$7</f>
        <v>0</v>
      </c>
      <c r="H5" s="35">
        <f>C5*Pristalsregulering!$C$7</f>
        <v>0</v>
      </c>
      <c r="I5" s="35">
        <f>D5*Pristalsregulering!$C$7</f>
        <v>274138.53551999998</v>
      </c>
      <c r="J5" s="35">
        <f>E5*Pristalsregulering!$C$7</f>
        <v>0</v>
      </c>
      <c r="K5" s="35">
        <f>F5*Pristalsregulering!$C$7</f>
        <v>0</v>
      </c>
      <c r="L5" s="45"/>
      <c r="M5" s="35"/>
      <c r="N5" s="35"/>
      <c r="O5" s="38"/>
      <c r="P5" s="38"/>
      <c r="Q5" s="45"/>
    </row>
    <row r="6" spans="1:17" x14ac:dyDescent="0.25">
      <c r="A6" s="28">
        <v>2013</v>
      </c>
      <c r="B6" s="35"/>
      <c r="C6" s="35"/>
      <c r="D6" s="35">
        <v>231092</v>
      </c>
      <c r="E6" s="35"/>
      <c r="F6" s="35"/>
      <c r="G6" s="45">
        <f>B6*Pristalsregulering!$C$7*Pristalsregulering!$C$6</f>
        <v>0</v>
      </c>
      <c r="H6" s="35">
        <f>C6*Pristalsregulering!$C$7*Pristalsregulering!$C$6</f>
        <v>0</v>
      </c>
      <c r="I6" s="35">
        <f>D6*Pristalsregulering!$C$7*Pristalsregulering!$C$6</f>
        <v>234746.02670399996</v>
      </c>
      <c r="J6" s="35">
        <f>E6*Pristalsregulering!$C$7*Pristalsregulering!$C$6</f>
        <v>0</v>
      </c>
      <c r="K6" s="35">
        <f>F6*Pristalsregulering!$C$7*Pristalsregulering!$C$6</f>
        <v>0</v>
      </c>
      <c r="L6" s="45"/>
      <c r="M6" s="35"/>
      <c r="N6" s="35"/>
      <c r="O6" s="38"/>
      <c r="P6" s="38"/>
      <c r="Q6" s="45"/>
    </row>
    <row r="7" spans="1:17" hidden="1" x14ac:dyDescent="0.25"/>
    <row r="8" spans="1:17" hidden="1" x14ac:dyDescent="0.25"/>
    <row r="9" spans="1:17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57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11750</v>
      </c>
      <c r="C3" s="42">
        <v>103520.04</v>
      </c>
      <c r="D3" s="42">
        <v>0</v>
      </c>
      <c r="E3" s="41">
        <f>B3</f>
        <v>11750</v>
      </c>
      <c r="F3" s="42">
        <f t="shared" ref="F3:G3" si="0">C3</f>
        <v>103520.04</v>
      </c>
      <c r="G3" s="43">
        <f t="shared" si="0"/>
        <v>0</v>
      </c>
      <c r="H3" s="44">
        <f>IF(E3=0,0,AVERAGEIF(E3:E5,"&lt;&gt;0"))+IF(F3=0,0,AVERAGEIF(F3:F5,"&lt;&gt;0"))+IF(G3=0,0,AVERAGEIF(G3:G5,"&lt;&gt;0"))</f>
        <v>98752.40466666664</v>
      </c>
    </row>
    <row r="4" spans="1:8" x14ac:dyDescent="0.25">
      <c r="A4" s="31">
        <v>2014</v>
      </c>
      <c r="B4" s="41">
        <v>11600</v>
      </c>
      <c r="C4" s="42">
        <v>78400</v>
      </c>
      <c r="D4" s="42">
        <v>0</v>
      </c>
      <c r="E4" s="41">
        <f>B4*Pristalsregulering!$C$7</f>
        <v>11609.279999999999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14300</v>
      </c>
      <c r="C5" s="42">
        <v>75200</v>
      </c>
      <c r="D5" s="42">
        <v>0</v>
      </c>
      <c r="E5" s="41">
        <f>B5*Pristalsregulering!$C$7*Pristalsregulering!$C$6</f>
        <v>14526.111599999997</v>
      </c>
      <c r="F5" s="42">
        <f>C5*Pristalsregulering!$C$7*Pristalsregulering!$C$6</f>
        <v>76389.062399999981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tabSelected="1" workbookViewId="0">
      <selection activeCell="A2" sqref="A2"/>
    </sheetView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69</v>
      </c>
      <c r="C1" s="76"/>
      <c r="D1" s="77"/>
      <c r="E1" s="78" t="s">
        <v>70</v>
      </c>
      <c r="F1" s="78"/>
      <c r="G1" s="78"/>
    </row>
    <row r="2" spans="1:7" s="22" customFormat="1" ht="15.75" thickTop="1" x14ac:dyDescent="0.25">
      <c r="A2" s="69" t="s">
        <v>13</v>
      </c>
      <c r="B2" s="23" t="s">
        <v>68</v>
      </c>
      <c r="C2" s="23" t="s">
        <v>1</v>
      </c>
      <c r="D2" s="28" t="s">
        <v>77</v>
      </c>
      <c r="E2" s="22" t="s">
        <v>0</v>
      </c>
      <c r="F2" s="22" t="s">
        <v>1</v>
      </c>
      <c r="G2" s="22" t="s">
        <v>77</v>
      </c>
    </row>
    <row r="3" spans="1:7" s="22" customFormat="1" x14ac:dyDescent="0.25">
      <c r="A3" s="70">
        <v>2015</v>
      </c>
      <c r="B3" s="38">
        <v>40825795.994972996</v>
      </c>
      <c r="C3" s="38">
        <v>6510361.0051000025</v>
      </c>
      <c r="D3" s="40">
        <v>911149.419833333</v>
      </c>
      <c r="E3" s="35">
        <f>B3*Pristalsregulering!C2*Pristalsregulering!C3*Pristalsregulering!C4*Pristalsregulering!C5*Pristalsregulering!C6*Pristalsregulering!C7</f>
        <v>44447001.847937472</v>
      </c>
      <c r="F3" s="35">
        <v>6703767.4000818394</v>
      </c>
      <c r="G3" s="35">
        <f xml:space="preserve"> D3/Pristalsregulering!$C$8</f>
        <v>914624.99481362477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42</v>
      </c>
      <c r="C1" s="74"/>
      <c r="D1" s="74"/>
      <c r="E1" s="74"/>
      <c r="F1" s="75" t="s">
        <v>58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73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2157541.9300000002</v>
      </c>
      <c r="D3" s="38">
        <v>0</v>
      </c>
      <c r="E3" s="40">
        <v>0</v>
      </c>
      <c r="F3" s="38">
        <f>B3</f>
        <v>0</v>
      </c>
      <c r="G3" s="38">
        <f>C3</f>
        <v>2157541.9300000002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2157541.9300000002</v>
      </c>
      <c r="L3" s="43">
        <f>AVERAGE(H3:H5)+AVERAGE(I3:I5)</f>
        <v>0</v>
      </c>
      <c r="M3" s="44">
        <f>SUM(J3:L3)</f>
        <v>2157541.9300000002</v>
      </c>
      <c r="N3" s="23"/>
    </row>
    <row r="4" spans="1:14" x14ac:dyDescent="0.25">
      <c r="A4" s="28">
        <v>2014</v>
      </c>
      <c r="B4" s="45">
        <v>0</v>
      </c>
      <c r="C4" s="38">
        <v>2511163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2513171.9304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2621944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2663402.1785279997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59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16261.37</v>
      </c>
      <c r="C2" s="42">
        <v>0</v>
      </c>
      <c r="D2" s="42">
        <v>94552.93</v>
      </c>
      <c r="E2" s="42">
        <v>4631443.0599999996</v>
      </c>
      <c r="F2" s="42">
        <v>0</v>
      </c>
      <c r="G2" s="42">
        <v>0</v>
      </c>
      <c r="H2" s="42">
        <v>2055614</v>
      </c>
      <c r="I2" s="42">
        <v>0</v>
      </c>
      <c r="J2" s="42"/>
      <c r="K2" s="42"/>
      <c r="L2" s="43">
        <v>0</v>
      </c>
      <c r="M2" s="44">
        <f>SUM(B2:L2)</f>
        <v>6797871.3599999994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60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2017-06-28T08:30:07Z</dcterms:modified>
</cp:coreProperties>
</file>