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<sst xmlns="http://schemas.openxmlformats.org/spreadsheetml/2006/main" count="113" uniqueCount="78">
  <si>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</si>
  <si>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</si>
  <si>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</si>
  <si>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</si>
  <si>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</si>
  <si>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</si>
  <si>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</si>
  <si>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</si>
  <si>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</si>
  <si>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</si>
  <si>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</si>
  <si>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</si>
  <si>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</si>
  <si>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</si>
  <si>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</si>
  <si>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</si>
  <si>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</si>
  <si>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</si>
  <si>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</si>
  <si>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</si>
  <si>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</si>
  <si>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</si>
  <si>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</si>
  <si>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</si>
  <si>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</si>
  <si>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</si>
  <si>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</si>
  <si>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</si>
  <si>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</si>
  <si>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</si>
  <si>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</si>
  <si>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</si>
  <si>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</si>
  <si>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</si>
  <si>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</si>
  <si>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</si>
  <si>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</si>
  <si>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</si>
  <si>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</si>
  <si>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</si>
  <si>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</si>
  <si>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</si>
  <si>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</si>
  <si>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</si>
  <si>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</si>
  <si>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</si>
  <si>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</si>
  <si>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</si>
  <si>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</si>
  <si>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</si>
  <si>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</si>
  <si>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</si>
  <si>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</si>
  <si>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</si>
  <si>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</si>
  <si>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</si>
  <si>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</si>
  <si>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</si>
  <si>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</si>
  <si>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</si>
  <si>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</si>
  <si>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</si>
  <si>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</si>
  <si>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</si>
  <si>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</si>
  <si>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</si>
  <si>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</si>
  <si>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</si>
  <si>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</si>
  <si>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</si>
  <si>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</si>
  <si>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</si>
  <si>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</si>
  <si>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Odense Cykelarena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</si>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</sst>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120599783.02215464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120050.0024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248455.06598399999</v>
      </c>
      <c r="C4" t="s">
        <v>11</v>
      </c>
    </row>
    <row r="5" spans="1:3" s="26" customFormat="1" x14ac:dyDescent="0.25">
      <c r="A5" s="3" t="s">
        <v>12</v>
      </c>
      <c r="B5" s="48">
        <f>SUM(B2:B4)</f>
        <v>120968288.09053864</v>
      </c>
      <c r="C5" s="62" t="s">
        <v>11</v>
      </c>
    </row>
    <row r="6" spans="1:3" x14ac:dyDescent="0.25">
      <c r="A6" s="47" t="s">
        <v>0</v>
      </c>
      <c r="B6" s="38">
        <f>Investeringer!E3</f>
        <v>172626313.65421945</v>
      </c>
      <c r="C6" s="23" t="s">
        <v>11</v>
      </c>
    </row>
    <row r="7" spans="1:3" x14ac:dyDescent="0.25">
      <c r="A7" s="4" t="s">
        <v>1</v>
      </c>
      <c r="B7" s="35">
        <f>Investeringer!F3</f>
        <v>43228263</v>
      </c>
      <c r="C7" t="s">
        <v>11</v>
      </c>
    </row>
    <row r="8" spans="1:3" x14ac:dyDescent="0.25">
      <c r="A8" s="4" t="s">
        <v>2</v>
      </c>
      <c r="B8" s="35">
        <f>Investeringer!G3</f>
        <v>7614271.5703673959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24923338.924799997</v>
      </c>
      <c r="C9" t="s">
        <v>11</v>
      </c>
    </row>
    <row r="10" spans="1:3" s="22" customFormat="1" x14ac:dyDescent="0.25">
      <c r="A10" s="3" t="s">
        <v>47</v>
      </c>
      <c r="B10" s="48">
        <f>SUM(B6:B9)</f>
        <v>248392187.14938685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8806162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354000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9160162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378520637.2399255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381871203.50540763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120672869</v>
      </c>
      <c r="C2" s="49">
        <v>0</v>
      </c>
      <c r="D2" s="49">
        <f>B2+C2</f>
        <v>120672869</v>
      </c>
      <c r="E2" s="50">
        <f>D2</f>
        <v>120672869</v>
      </c>
      <c r="F2" s="49">
        <v>122562537.80848709</v>
      </c>
      <c r="G2" s="49">
        <v>0</v>
      </c>
      <c r="H2" s="49">
        <f>F2-G2</f>
        <v>122562537.80848709</v>
      </c>
      <c r="I2" s="49">
        <f>AVERAGEIF(E2:E4,"&lt;&gt;0")</f>
        <v>120599783.02215464</v>
      </c>
      <c r="J2" s="49">
        <v>98334656.686481595</v>
      </c>
      <c r="K2" s="39">
        <f>IF(H2&gt;I2,IF(I2&gt;J2,I2,J2),H2)</f>
        <v>120599783.02215464</v>
      </c>
    </row>
    <row r="3" spans="1:11" s="23" customFormat="1" x14ac:dyDescent="0.25">
      <c r="A3" s="28">
        <v>2014</v>
      </c>
      <c r="B3" s="49">
        <v>119702263</v>
      </c>
      <c r="C3" s="49"/>
      <c r="D3" s="49">
        <f t="shared" ref="D3:D4" si="0">B3+C3</f>
        <v>119702263</v>
      </c>
      <c r="E3" s="50">
        <f>D3*Pristalsregulering!C7</f>
        <v>119798024.81039999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119439872</v>
      </c>
      <c r="C4" s="49"/>
      <c r="D4" s="49">
        <f t="shared" si="0"/>
        <v>119439872</v>
      </c>
      <c r="E4" s="50">
        <f>D4*Pristalsregulering!$C$6*Pristalsregulering!$C$7</f>
        <v>121328455.25606397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74</v>
      </c>
      <c r="C1" s="65" t="s">
        <v>75</v>
      </c>
      <c r="D1" s="75" t="s">
        <v>76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120050.0024</v>
      </c>
      <c r="E3" s="57">
        <f>SUM(D3:D3)</f>
        <v>120050.0024</v>
      </c>
    </row>
    <row r="4" spans="1:5" x14ac:dyDescent="0.25">
      <c r="A4" s="28">
        <v>2015</v>
      </c>
      <c r="B4" s="35">
        <v>113743</v>
      </c>
      <c r="C4" s="45">
        <f>B4</f>
        <v>113743</v>
      </c>
      <c r="D4" s="77"/>
      <c r="E4" s="54"/>
    </row>
    <row r="5" spans="1:5" x14ac:dyDescent="0.25">
      <c r="A5" s="28">
        <v>2014</v>
      </c>
      <c r="B5" s="35">
        <v>126256</v>
      </c>
      <c r="C5" s="45">
        <f>B5*Pristalsregulering!$C$7</f>
        <v>126357.0048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215264</v>
      </c>
      <c r="D3" s="42">
        <v>0</v>
      </c>
      <c r="E3" s="41">
        <f>B3</f>
        <v>25000</v>
      </c>
      <c r="F3" s="42">
        <f t="shared" ref="F3:G3" si="0">C3</f>
        <v>215264</v>
      </c>
      <c r="G3" s="43">
        <f t="shared" si="0"/>
        <v>0</v>
      </c>
      <c r="H3" s="44">
        <f>IF(E3=0,0,AVERAGEIF(E3:E5,"&lt;&gt;0"))+IF(F3=0,0,AVERAGEIF(F3:F5,"&lt;&gt;0"))+IF(G3=0,0,AVERAGEIF(G3:G5,"&lt;&gt;0"))</f>
        <v>248455.06598399999</v>
      </c>
    </row>
    <row r="4" spans="1:8" x14ac:dyDescent="0.25">
      <c r="A4" s="31">
        <v>2014</v>
      </c>
      <c r="B4" s="41">
        <v>25000</v>
      </c>
      <c r="C4" s="42">
        <v>221993</v>
      </c>
      <c r="D4" s="42">
        <v>0</v>
      </c>
      <c r="E4" s="41">
        <f>B4*Pristalsregulering!$C$7</f>
        <v>25019.999999999996</v>
      </c>
      <c r="F4" s="42">
        <f>C4*Pristalsregulering!$C$7</f>
        <v>222170.59439999997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25518</v>
      </c>
      <c r="C5" s="42">
        <v>228378</v>
      </c>
      <c r="D5" s="42">
        <v>0</v>
      </c>
      <c r="E5" s="41">
        <f>B5*Pristalsregulering!$C$7*Pristalsregulering!$C$6</f>
        <v>25921.490615999995</v>
      </c>
      <c r="F5" s="42">
        <f>C5*Pristalsregulering!$C$7*Pristalsregulering!$C$6</f>
        <v>231989.11293599996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8">
        <v>158562026.0444726</v>
      </c>
      <c r="C3" s="38">
        <v>42187682.24233333</v>
      </c>
      <c r="D3" s="40">
        <v>7585337.3383999998</v>
      </c>
      <c r="E3" s="35">
        <f>B3*Pristalsregulering!C2*Pristalsregulering!C3*Pristalsregulering!C4*Pristalsregulering!C5*Pristalsregulering!C6*Pristalsregulering!C7</f>
        <v>172626313.65421945</v>
      </c>
      <c r="F3" s="35">
        <v>43228263</v>
      </c>
      <c r="G3" s="35">
        <f xml:space="preserve"> D3/Pristalsregulering!$C$8</f>
        <v>7614271.5703673959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805774</v>
      </c>
      <c r="C3" s="38">
        <v>24524645</v>
      </c>
      <c r="D3" s="38">
        <v>25298</v>
      </c>
      <c r="E3" s="40">
        <v>0</v>
      </c>
      <c r="F3" s="38">
        <f>B3</f>
        <v>805774</v>
      </c>
      <c r="G3" s="38">
        <f>C3</f>
        <v>24524645</v>
      </c>
      <c r="H3" s="38">
        <f>D3</f>
        <v>25298</v>
      </c>
      <c r="I3" s="40">
        <f>E3</f>
        <v>0</v>
      </c>
      <c r="J3" s="42">
        <f>AVERAGE(F3:F5)</f>
        <v>268591.33333333331</v>
      </c>
      <c r="K3" s="42">
        <f>G3</f>
        <v>24524645</v>
      </c>
      <c r="L3" s="43">
        <f>AVERAGE(H3:H5)+AVERAGE(I3:I5)</f>
        <v>130102.59146666666</v>
      </c>
      <c r="M3" s="44">
        <f>SUM(J3:L3)</f>
        <v>24923338.924799997</v>
      </c>
      <c r="N3" s="23"/>
    </row>
    <row r="4" spans="1:14" x14ac:dyDescent="0.25">
      <c r="A4" s="28">
        <v>2014</v>
      </c>
      <c r="B4" s="45">
        <v>0</v>
      </c>
      <c r="C4" s="38">
        <v>21523017</v>
      </c>
      <c r="D4" s="38">
        <v>364718</v>
      </c>
      <c r="E4" s="40">
        <v>0</v>
      </c>
      <c r="F4" s="38">
        <f>IF(B4="","",B4*Pristalsregulering!$C$7)</f>
        <v>0</v>
      </c>
      <c r="G4" s="38">
        <f>IF(C4="","",C4*Pristalsregulering!$C$7)</f>
        <v>21540235.413599998</v>
      </c>
      <c r="H4" s="38">
        <f>IF(D4="","",D4*Pristalsregulering!$C$7)</f>
        <v>365009.77439999999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18851548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19149628.676975995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16262</v>
      </c>
      <c r="C2" s="42">
        <v>661893</v>
      </c>
      <c r="D2" s="42">
        <v>1185780</v>
      </c>
      <c r="E2" s="42">
        <v>0</v>
      </c>
      <c r="F2" s="42">
        <v>0</v>
      </c>
      <c r="G2" s="42">
        <v>0</v>
      </c>
      <c r="H2" s="42">
        <v>6942227</v>
      </c>
      <c r="I2" s="42">
        <v>0</v>
      </c>
      <c r="J2" s="42"/>
      <c r="K2" s="42"/>
      <c r="L2" s="43">
        <v>0</v>
      </c>
      <c r="M2" s="44">
        <f>SUM(B2:L2)</f>
        <v>8806162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354000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2017-06-28T08:34:09Z</dcterms:modified>
</cp:coreProperties>
</file>