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 firstSheet="2" activeTab="2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3" i="15" l="1"/>
  <c r="G13" i="9" l="1"/>
  <c r="G9" i="9"/>
  <c r="G9" i="8"/>
  <c r="E10" i="15" l="1"/>
  <c r="G13" i="10" l="1"/>
  <c r="G16" i="9" l="1"/>
  <c r="G12" i="9"/>
  <c r="G12" i="8"/>
  <c r="E12" i="2"/>
  <c r="G11" i="10" l="1"/>
  <c r="F18" i="20"/>
  <c r="F19" i="20" s="1"/>
  <c r="E15" i="2" s="1"/>
  <c r="F44" i="11" l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G18" i="19"/>
  <c r="G19" i="19" s="1"/>
  <c r="E11" i="2" s="1"/>
  <c r="G12" i="7"/>
  <c r="E9" i="2" l="1"/>
  <c r="E19" i="2" s="1"/>
  <c r="E15" i="13"/>
  <c r="F11" i="11"/>
  <c r="F45" i="11"/>
  <c r="E16" i="15" l="1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46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<sst xmlns="http://schemas.openxmlformats.org/spreadsheetml/2006/main" count="403" uniqueCount="181">
  <si>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</si>
  <si>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</si>
  <si>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</si>
  <si>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</si>
  <si>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</si>
  <si>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</si>
  <si>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</si>
  <si>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</si>
  <si>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</si>
  <si>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</si>
  <si>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</si>
  <si>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</si>
  <si>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</si>
  <si>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</si>
  <si>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</si>
  <si>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</si>
  <si>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</si>
  <si>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</si>
  <si>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</si>
  <si>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</si>
  <si>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</si>
  <si>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</si>
  <si>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</si>
  <si>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</si>
  <si>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</si>
  <si>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</si>
  <si>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</si>
  <si>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</si>
  <si>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</si>
  <si>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</si>
  <si>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</si>
  <si>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</si>
  <si>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</si>
  <si>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</si>
  <si>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</si>
  <si>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</si>
  <si>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</si>
  <si>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</si>
  <si>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</si>
  <si>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</si>
  <si>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</si>
  <si>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</si>
  <si>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</si>
  <si>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</si>
  <si>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</si>
  <si>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</si>
  <si>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</si>
  <si>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</si>
  <si>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</si>
  <si>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</si>
  <si>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</si>
  <si>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</si>
  <si>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</si>
  <si>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</si>
  <si>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</si>
  <si>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</si>
  <si>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</si>
  <si>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</si>
  <si>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</si>
  <si>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</si>
  <si>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</si>
  <si>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</si>
  <si>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</si>
  <si>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</si>
  <si>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</si>
  <si>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</si>
  <si>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</si>
  <si>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</si>
  <si>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</si>
  <si>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</si>
  <si>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</si>
  <si>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</si>
  <si>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</si>
  <si>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</si>
  <si>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</si>
  <si>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</si>
  <si>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</si>
  <si>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</si>
  <si>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</si>
  <si>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</si>
  <si>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</si>
  <si>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</si>
  <si>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</si>
  <si>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</si>
  <si>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</si>
  <si>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</si>
  <si>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</si>
  <si>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</si>
  <si>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</si>
  <si>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</si>
  <si>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</si>
  <si>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</si>
  <si>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</si>
  <si>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</si>
  <si>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</si>
  <si>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</si>
  <si>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</si>
  <si>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</si>
  <si>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</si>
  <si>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</si>
  <si>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</si>
  <si>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</si>
  <si>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</si>
  <si>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</si>
  <si>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</si>
  <si>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</si>
  <si>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</si>
  <si>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</si>
  <si>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</si>
  <si>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</si>
  <si>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</si>
  <si>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</si>
  <si>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</si>
  <si>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</si>
  <si>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</si>
  <si>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</si>
  <si>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</si>
  <si>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</si>
  <si>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</si>
  <si>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</si>
  <si>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</si>
  <si>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</si>
  <si>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</si>
  <si>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</si>
  <si>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</si>
  <si>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</si>
  <si>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</si>
  <si>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</si>
  <si>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</si>
  <si>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</si>
  <si>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</si>
  <si>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</si>
  <si>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</si>
  <si>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</si>
  <si>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</si>
  <si>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</si>
  <si>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</si>
  <si>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</si>
  <si>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</si>
  <si>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</si>
  <si>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</si>
  <si>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</si>
  <si>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</si>
  <si>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</si>
  <si>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</si>
  <si>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</si>
  <si>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Ø 200 mm &lt; Ledningsnet ≤ Ø 500 mm</t>
  </si>
  <si>
    <t>Pumpestationer i brønde (&lt; 6,25 m2), Mek/EL</t>
  </si>
  <si>
    <t>Brønde</t>
  </si>
  <si>
    <t>Pumpestationer i brønde (&lt; 6,25 m2), Konstruktioner</t>
  </si>
  <si>
    <t>Stik</t>
  </si>
  <si>
    <t>Strømpeforing Ø 200 mm &lt; Ledningsnet ≤ Ø 500 mm</t>
  </si>
  <si>
    <t xml:space="preserve">Slidlag </t>
  </si>
  <si>
    <t>IT system</t>
  </si>
  <si>
    <t>Stigeløsning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</si>
  <si>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</si>
  <si>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</si>
  <si>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</si>
  <si>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</si>
  <si>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</si>
  <si>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</si>
  <si>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</si>
  <si>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</si>
  <si>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</si>
  <si>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</si>
  <si>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</si>
  <si>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</si>
  <si>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</si>
  <si>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</si>
  <si>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</si>
  <si>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</si>
  <si>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</si>
  <si>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</si>
  <si>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</si>
  <si>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</si>
  <si>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</si>
  <si>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 xml:space="preserve">Tilbagebetaling af vejbidrag (§11, stk. 9) 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</si>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</sst>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18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0" fillId="0" borderId="0" xfId="0" applyProtection="1">
      <protection locked="0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view="pageLayout" zoomScaleNormal="100" workbookViewId="0">
      <selection activeCell="D19" sqref="D19:G19"/>
    </sheetView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8" t="s">
        <v>5</v>
      </c>
      <c r="E6" s="68"/>
      <c r="F6" s="68"/>
      <c r="G6" s="68"/>
      <c r="H6" s="4"/>
      <c r="I6" s="2"/>
    </row>
    <row r="7" spans="1:9" ht="15" customHeight="1" x14ac:dyDescent="0.25">
      <c r="A7" s="2"/>
      <c r="B7" s="2"/>
      <c r="C7" s="4"/>
      <c r="D7" s="68"/>
      <c r="E7" s="68"/>
      <c r="F7" s="68"/>
      <c r="G7" s="68"/>
      <c r="H7" s="4"/>
      <c r="I7" s="2"/>
    </row>
    <row r="8" spans="1:9" ht="15.75" x14ac:dyDescent="0.25">
      <c r="A8" s="2"/>
      <c r="B8" s="2"/>
      <c r="C8" s="5"/>
      <c r="D8" s="73" t="s">
        <v>122</v>
      </c>
      <c r="E8" s="73"/>
      <c r="F8" s="73"/>
      <c r="G8" s="73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2" t="s">
        <v>6</v>
      </c>
      <c r="E11" s="72"/>
      <c r="F11" s="72"/>
      <c r="G11" s="72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5" t="s">
        <v>69</v>
      </c>
      <c r="E13" s="66"/>
      <c r="F13" s="66"/>
      <c r="G13" s="67"/>
      <c r="H13" s="2"/>
      <c r="I13" s="2"/>
    </row>
    <row r="14" spans="1:9" x14ac:dyDescent="0.25">
      <c r="A14" s="2"/>
      <c r="B14" s="2"/>
      <c r="C14" s="7" t="s">
        <v>68</v>
      </c>
      <c r="D14" s="65" t="s">
        <v>70</v>
      </c>
      <c r="E14" s="66"/>
      <c r="F14" s="66"/>
      <c r="G14" s="67"/>
      <c r="H14" s="2"/>
      <c r="I14" s="2"/>
    </row>
    <row r="15" spans="1:9" x14ac:dyDescent="0.25">
      <c r="A15" s="2"/>
      <c r="B15" s="2"/>
      <c r="C15" s="7" t="s">
        <v>8</v>
      </c>
      <c r="D15" s="74" t="s">
        <v>63</v>
      </c>
      <c r="E15" s="75"/>
      <c r="F15" s="75"/>
      <c r="G15" s="76"/>
      <c r="H15" s="2"/>
      <c r="I15" s="2"/>
    </row>
    <row r="16" spans="1:9" x14ac:dyDescent="0.25">
      <c r="A16" s="2"/>
      <c r="B16" s="2"/>
      <c r="C16" s="7" t="s">
        <v>9</v>
      </c>
      <c r="D16" s="74" t="s">
        <v>49</v>
      </c>
      <c r="E16" s="75"/>
      <c r="F16" s="75"/>
      <c r="G16" s="76"/>
      <c r="H16" s="2"/>
      <c r="I16" s="2"/>
    </row>
    <row r="17" spans="1:9" x14ac:dyDescent="0.25">
      <c r="A17" s="2"/>
      <c r="B17" s="2"/>
      <c r="C17" s="7" t="s">
        <v>10</v>
      </c>
      <c r="D17" s="77" t="s">
        <v>15</v>
      </c>
      <c r="E17" s="78"/>
      <c r="F17" s="78"/>
      <c r="G17" s="79"/>
      <c r="H17" s="2"/>
      <c r="I17" s="2"/>
    </row>
    <row r="18" spans="1:9" x14ac:dyDescent="0.25">
      <c r="A18" s="2"/>
      <c r="B18" s="2"/>
      <c r="C18" s="7" t="s">
        <v>11</v>
      </c>
      <c r="D18" s="77" t="s">
        <v>16</v>
      </c>
      <c r="E18" s="78"/>
      <c r="F18" s="78"/>
      <c r="G18" s="79"/>
      <c r="H18" s="2"/>
      <c r="I18" s="2"/>
    </row>
    <row r="19" spans="1:9" x14ac:dyDescent="0.25">
      <c r="A19" s="2"/>
      <c r="B19" s="2"/>
      <c r="C19" s="7" t="s">
        <v>12</v>
      </c>
      <c r="D19" s="80" t="s">
        <v>17</v>
      </c>
      <c r="E19" s="81"/>
      <c r="F19" s="81"/>
      <c r="G19" s="82"/>
      <c r="H19" s="2"/>
      <c r="I19" s="2"/>
    </row>
    <row r="20" spans="1:9" x14ac:dyDescent="0.25">
      <c r="A20" s="2"/>
      <c r="B20" s="2"/>
      <c r="C20" s="7" t="s">
        <v>13</v>
      </c>
      <c r="D20" s="69" t="s">
        <v>75</v>
      </c>
      <c r="E20" s="70"/>
      <c r="F20" s="70"/>
      <c r="G20" s="71"/>
      <c r="H20" s="2"/>
      <c r="I20" s="2"/>
    </row>
    <row r="21" spans="1:9" x14ac:dyDescent="0.25">
      <c r="A21" s="2"/>
      <c r="B21" s="2"/>
      <c r="C21" s="7" t="s">
        <v>14</v>
      </c>
      <c r="D21" s="69" t="s">
        <v>98</v>
      </c>
      <c r="E21" s="70"/>
      <c r="F21" s="70"/>
      <c r="G21" s="71"/>
      <c r="H21" s="2"/>
      <c r="I21" s="2"/>
    </row>
    <row r="22" spans="1:9" x14ac:dyDescent="0.25">
      <c r="A22" s="2"/>
      <c r="B22" s="2"/>
      <c r="C22" s="7" t="s">
        <v>59</v>
      </c>
      <c r="D22" s="59" t="s">
        <v>142</v>
      </c>
      <c r="E22" s="60"/>
      <c r="F22" s="60"/>
      <c r="G22" s="61"/>
      <c r="H22" s="2"/>
      <c r="I22" s="2"/>
    </row>
    <row r="23" spans="1:9" x14ac:dyDescent="0.25">
      <c r="A23" s="2"/>
      <c r="B23" s="2"/>
      <c r="C23" s="7" t="s">
        <v>66</v>
      </c>
      <c r="D23" s="62" t="s">
        <v>65</v>
      </c>
      <c r="E23" s="63"/>
      <c r="F23" s="63"/>
      <c r="G23" s="64"/>
      <c r="H23" s="2"/>
      <c r="I23" s="2"/>
    </row>
    <row r="24" spans="1:9" x14ac:dyDescent="0.25">
      <c r="A24" s="2"/>
      <c r="B24" s="2"/>
      <c r="C24" s="7" t="s">
        <v>67</v>
      </c>
      <c r="D24" s="62" t="s">
        <v>64</v>
      </c>
      <c r="E24" s="63"/>
      <c r="F24" s="63"/>
      <c r="G24" s="64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5" t="s">
        <v>77</v>
      </c>
      <c r="C3" s="105"/>
      <c r="D3" s="105"/>
      <c r="E3" s="105"/>
      <c r="F3" s="105"/>
      <c r="G3" s="105"/>
      <c r="H3" s="105"/>
      <c r="I3" s="2"/>
    </row>
    <row r="4" spans="1:9" ht="15" customHeight="1" x14ac:dyDescent="0.25">
      <c r="A4" s="2"/>
      <c r="B4" s="105"/>
      <c r="C4" s="105"/>
      <c r="D4" s="105"/>
      <c r="E4" s="105"/>
      <c r="F4" s="105"/>
      <c r="G4" s="105"/>
      <c r="H4" s="10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2" t="s">
        <v>170</v>
      </c>
      <c r="C8" s="103"/>
      <c r="D8" s="103"/>
      <c r="E8" s="103"/>
      <c r="F8" s="103"/>
      <c r="G8" s="103"/>
      <c r="H8" s="104"/>
      <c r="I8" s="2"/>
    </row>
    <row r="9" spans="1:9" x14ac:dyDescent="0.25">
      <c r="A9" s="2"/>
      <c r="B9" s="96" t="s">
        <v>78</v>
      </c>
      <c r="C9" s="84"/>
      <c r="D9" s="84"/>
      <c r="E9" s="84"/>
      <c r="F9" s="85"/>
      <c r="G9" s="27">
        <v>16199148</v>
      </c>
      <c r="H9" s="23" t="s">
        <v>4</v>
      </c>
      <c r="I9" s="2"/>
    </row>
    <row r="10" spans="1:9" x14ac:dyDescent="0.25">
      <c r="A10" s="2"/>
      <c r="B10" s="96" t="s">
        <v>79</v>
      </c>
      <c r="C10" s="84"/>
      <c r="D10" s="84"/>
      <c r="E10" s="84"/>
      <c r="F10" s="85"/>
      <c r="G10" s="27">
        <v>16470500</v>
      </c>
      <c r="H10" s="23" t="s">
        <v>4</v>
      </c>
      <c r="I10" s="2"/>
    </row>
    <row r="11" spans="1:9" x14ac:dyDescent="0.25">
      <c r="A11" s="2"/>
      <c r="B11" s="92" t="s">
        <v>171</v>
      </c>
      <c r="C11" s="93"/>
      <c r="D11" s="93"/>
      <c r="E11" s="93"/>
      <c r="F11" s="94"/>
      <c r="G11" s="21">
        <f>G9-G10</f>
        <v>-271352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2" t="s">
        <v>172</v>
      </c>
      <c r="C14" s="103"/>
      <c r="D14" s="103"/>
      <c r="E14" s="103"/>
      <c r="F14" s="103"/>
      <c r="G14" s="103"/>
      <c r="H14" s="104"/>
      <c r="I14" s="2"/>
    </row>
    <row r="15" spans="1:9" x14ac:dyDescent="0.25">
      <c r="A15" s="2"/>
      <c r="B15" s="96" t="s">
        <v>80</v>
      </c>
      <c r="C15" s="84"/>
      <c r="D15" s="84"/>
      <c r="E15" s="84"/>
      <c r="F15" s="85"/>
      <c r="G15" s="27">
        <v>1339342.4099999999</v>
      </c>
      <c r="H15" s="23" t="s">
        <v>4</v>
      </c>
      <c r="I15" s="2"/>
    </row>
    <row r="16" spans="1:9" x14ac:dyDescent="0.25">
      <c r="A16" s="2"/>
      <c r="B16" s="96" t="s">
        <v>81</v>
      </c>
      <c r="C16" s="84"/>
      <c r="D16" s="84"/>
      <c r="E16" s="84"/>
      <c r="F16" s="85"/>
      <c r="G16" s="27">
        <v>1500000</v>
      </c>
      <c r="H16" s="23" t="s">
        <v>4</v>
      </c>
      <c r="I16" s="2"/>
    </row>
    <row r="17" spans="1:9" x14ac:dyDescent="0.25">
      <c r="A17" s="2"/>
      <c r="B17" s="92" t="s">
        <v>172</v>
      </c>
      <c r="C17" s="93"/>
      <c r="D17" s="93"/>
      <c r="E17" s="93"/>
      <c r="F17" s="94"/>
      <c r="G17" s="21">
        <f>G15-G16</f>
        <v>-160657.59000000008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2" t="s">
        <v>173</v>
      </c>
      <c r="C20" s="103"/>
      <c r="D20" s="103"/>
      <c r="E20" s="103"/>
      <c r="F20" s="103"/>
      <c r="G20" s="103"/>
      <c r="H20" s="104"/>
      <c r="I20" s="2"/>
    </row>
    <row r="21" spans="1:9" x14ac:dyDescent="0.25">
      <c r="A21" s="2"/>
      <c r="B21" s="96" t="s">
        <v>82</v>
      </c>
      <c r="C21" s="84"/>
      <c r="D21" s="84"/>
      <c r="E21" s="84"/>
      <c r="F21" s="85"/>
      <c r="G21" s="27">
        <v>0</v>
      </c>
      <c r="H21" s="23" t="s">
        <v>4</v>
      </c>
      <c r="I21" s="2"/>
    </row>
    <row r="22" spans="1:9" x14ac:dyDescent="0.25">
      <c r="A22" s="2"/>
      <c r="B22" s="96" t="s">
        <v>83</v>
      </c>
      <c r="C22" s="84"/>
      <c r="D22" s="84"/>
      <c r="E22" s="84"/>
      <c r="F22" s="85"/>
      <c r="G22" s="27">
        <v>0</v>
      </c>
      <c r="H22" s="23" t="s">
        <v>4</v>
      </c>
      <c r="I22" s="2"/>
    </row>
    <row r="23" spans="1:9" x14ac:dyDescent="0.25">
      <c r="A23" s="2"/>
      <c r="B23" s="92" t="s">
        <v>173</v>
      </c>
      <c r="C23" s="93"/>
      <c r="D23" s="93"/>
      <c r="E23" s="93"/>
      <c r="F23" s="94"/>
      <c r="G23" s="21">
        <f>G21-G22</f>
        <v>0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2" t="s">
        <v>174</v>
      </c>
      <c r="C26" s="103"/>
      <c r="D26" s="103"/>
      <c r="E26" s="103"/>
      <c r="F26" s="103"/>
      <c r="G26" s="103"/>
      <c r="H26" s="104"/>
      <c r="I26" s="2"/>
    </row>
    <row r="27" spans="1:9" ht="29.25" customHeight="1" x14ac:dyDescent="0.25">
      <c r="A27" s="2"/>
      <c r="B27" s="89" t="s">
        <v>84</v>
      </c>
      <c r="C27" s="90"/>
      <c r="D27" s="90"/>
      <c r="E27" s="90"/>
      <c r="F27" s="91"/>
      <c r="G27" s="27">
        <v>0</v>
      </c>
      <c r="H27" s="23" t="s">
        <v>4</v>
      </c>
      <c r="I27" s="2"/>
    </row>
    <row r="28" spans="1:9" x14ac:dyDescent="0.25">
      <c r="A28" s="2"/>
      <c r="B28" s="96" t="s">
        <v>85</v>
      </c>
      <c r="C28" s="84"/>
      <c r="D28" s="84"/>
      <c r="E28" s="84"/>
      <c r="F28" s="85"/>
      <c r="G28" s="27">
        <v>0</v>
      </c>
      <c r="H28" s="23" t="s">
        <v>4</v>
      </c>
      <c r="I28" s="2"/>
    </row>
    <row r="29" spans="1:9" ht="15" customHeight="1" x14ac:dyDescent="0.25">
      <c r="A29" s="2"/>
      <c r="B29" s="102" t="s">
        <v>174</v>
      </c>
      <c r="C29" s="103"/>
      <c r="D29" s="103"/>
      <c r="E29" s="103"/>
      <c r="F29" s="104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2" t="s">
        <v>86</v>
      </c>
      <c r="C32" s="103"/>
      <c r="D32" s="103"/>
      <c r="E32" s="103"/>
      <c r="F32" s="103"/>
      <c r="G32" s="103"/>
      <c r="H32" s="104"/>
      <c r="I32" s="2"/>
    </row>
    <row r="33" spans="1:9" x14ac:dyDescent="0.25">
      <c r="A33" s="2"/>
      <c r="B33" s="96" t="s">
        <v>87</v>
      </c>
      <c r="C33" s="84"/>
      <c r="D33" s="84"/>
      <c r="E33" s="84"/>
      <c r="F33" s="85"/>
      <c r="G33" s="12">
        <f>'Fane 8. Gen. inv. i 2016'!F46</f>
        <v>587841.70823333319</v>
      </c>
      <c r="H33" s="23" t="s">
        <v>4</v>
      </c>
      <c r="I33" s="2"/>
    </row>
    <row r="34" spans="1:9" x14ac:dyDescent="0.25">
      <c r="A34" s="2"/>
      <c r="B34" s="96" t="s">
        <v>88</v>
      </c>
      <c r="C34" s="84"/>
      <c r="D34" s="84"/>
      <c r="E34" s="84"/>
      <c r="F34" s="85"/>
      <c r="G34" s="27">
        <v>656666.66666666663</v>
      </c>
      <c r="H34" s="23" t="s">
        <v>4</v>
      </c>
      <c r="I34" s="2"/>
    </row>
    <row r="35" spans="1:9" x14ac:dyDescent="0.25">
      <c r="A35" s="2"/>
      <c r="B35" s="92" t="s">
        <v>86</v>
      </c>
      <c r="C35" s="93"/>
      <c r="D35" s="93"/>
      <c r="E35" s="93"/>
      <c r="F35" s="94"/>
      <c r="G35" s="21">
        <f>G33-G34</f>
        <v>-68824.958433333435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topLeftCell="A25" zoomScaleNormal="100" workbookViewId="0">
      <selection activeCell="G36" sqref="G36"/>
    </sheetView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5" t="s">
        <v>89</v>
      </c>
      <c r="C3" s="105"/>
      <c r="D3" s="105"/>
      <c r="E3" s="105"/>
      <c r="F3" s="105"/>
      <c r="G3" s="105"/>
      <c r="H3" s="105"/>
      <c r="I3" s="2"/>
    </row>
    <row r="4" spans="1:9" ht="15" customHeight="1" x14ac:dyDescent="0.25">
      <c r="A4" s="2"/>
      <c r="B4" s="105"/>
      <c r="C4" s="105"/>
      <c r="D4" s="105"/>
      <c r="E4" s="105"/>
      <c r="F4" s="105"/>
      <c r="G4" s="105"/>
      <c r="H4" s="10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2" t="s">
        <v>90</v>
      </c>
      <c r="C8" s="93"/>
      <c r="D8" s="93"/>
      <c r="E8" s="93"/>
      <c r="F8" s="93"/>
      <c r="G8" s="93"/>
      <c r="H8" s="94"/>
      <c r="I8" s="2"/>
    </row>
    <row r="9" spans="1:9" x14ac:dyDescent="0.25">
      <c r="A9" s="2"/>
      <c r="B9" s="97" t="s">
        <v>91</v>
      </c>
      <c r="C9" s="98"/>
      <c r="D9" s="98"/>
      <c r="E9" s="98"/>
      <c r="F9" s="99"/>
      <c r="G9" s="26">
        <v>66657094.660747692</v>
      </c>
      <c r="H9" s="38" t="s">
        <v>4</v>
      </c>
      <c r="I9" s="2"/>
    </row>
    <row r="10" spans="1:9" x14ac:dyDescent="0.25">
      <c r="A10" s="2"/>
      <c r="B10" s="92" t="s">
        <v>92</v>
      </c>
      <c r="C10" s="93"/>
      <c r="D10" s="93"/>
      <c r="E10" s="93"/>
      <c r="F10" s="93"/>
      <c r="G10" s="93"/>
      <c r="H10" s="94"/>
      <c r="I10" s="2"/>
    </row>
    <row r="11" spans="1:9" x14ac:dyDescent="0.25">
      <c r="A11" s="2"/>
      <c r="B11" s="96" t="s">
        <v>19</v>
      </c>
      <c r="C11" s="84"/>
      <c r="D11" s="85"/>
      <c r="E11" s="27">
        <v>34877459</v>
      </c>
      <c r="F11" s="23" t="s">
        <v>4</v>
      </c>
      <c r="G11" s="20"/>
      <c r="H11" s="42"/>
      <c r="I11" s="2"/>
    </row>
    <row r="12" spans="1:9" x14ac:dyDescent="0.25">
      <c r="A12" s="2"/>
      <c r="B12" s="96" t="s">
        <v>93</v>
      </c>
      <c r="C12" s="84"/>
      <c r="D12" s="85"/>
      <c r="E12" s="27">
        <v>1520147.016496147</v>
      </c>
      <c r="F12" s="23" t="s">
        <v>4</v>
      </c>
      <c r="G12" s="15"/>
      <c r="H12" s="43"/>
      <c r="I12" s="2"/>
    </row>
    <row r="13" spans="1:9" x14ac:dyDescent="0.25">
      <c r="A13" s="2"/>
      <c r="B13" s="96" t="s">
        <v>94</v>
      </c>
      <c r="C13" s="84"/>
      <c r="D13" s="85"/>
      <c r="E13" s="27">
        <v>167213</v>
      </c>
      <c r="F13" s="23" t="s">
        <v>4</v>
      </c>
      <c r="G13" s="15"/>
      <c r="H13" s="43"/>
      <c r="I13" s="2"/>
    </row>
    <row r="14" spans="1:9" x14ac:dyDescent="0.25">
      <c r="A14" s="2"/>
      <c r="B14" s="96" t="s">
        <v>95</v>
      </c>
      <c r="C14" s="84"/>
      <c r="D14" s="85"/>
      <c r="E14" s="27">
        <v>1362333</v>
      </c>
      <c r="F14" s="23" t="s">
        <v>4</v>
      </c>
      <c r="G14" s="15"/>
      <c r="H14" s="43"/>
      <c r="I14" s="2"/>
    </row>
    <row r="15" spans="1:9" x14ac:dyDescent="0.25">
      <c r="A15" s="2"/>
      <c r="B15" s="97" t="s">
        <v>20</v>
      </c>
      <c r="C15" s="98"/>
      <c r="D15" s="99"/>
      <c r="E15" s="18">
        <f>SUM(E11:E14)</f>
        <v>37927152.016496144</v>
      </c>
      <c r="F15" s="38" t="s">
        <v>4</v>
      </c>
      <c r="G15" s="15"/>
      <c r="H15" s="43"/>
      <c r="I15" s="2"/>
    </row>
    <row r="16" spans="1:9" x14ac:dyDescent="0.25">
      <c r="A16" s="2"/>
      <c r="B16" s="96" t="s">
        <v>21</v>
      </c>
      <c r="C16" s="84"/>
      <c r="D16" s="85"/>
      <c r="E16" s="27">
        <v>2187538</v>
      </c>
      <c r="F16" s="23" t="s">
        <v>4</v>
      </c>
      <c r="G16" s="15"/>
      <c r="H16" s="43"/>
      <c r="I16" s="2"/>
    </row>
    <row r="17" spans="1:9" x14ac:dyDescent="0.25">
      <c r="A17" s="2"/>
      <c r="B17" s="96" t="s">
        <v>22</v>
      </c>
      <c r="C17" s="84"/>
      <c r="D17" s="85"/>
      <c r="E17" s="27">
        <v>0</v>
      </c>
      <c r="F17" s="23" t="s">
        <v>4</v>
      </c>
      <c r="G17" s="15"/>
      <c r="H17" s="43"/>
      <c r="I17" s="2"/>
    </row>
    <row r="18" spans="1:9" x14ac:dyDescent="0.25">
      <c r="A18" s="2"/>
      <c r="B18" s="96" t="s">
        <v>23</v>
      </c>
      <c r="C18" s="84"/>
      <c r="D18" s="85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7" t="s">
        <v>24</v>
      </c>
      <c r="C19" s="98"/>
      <c r="D19" s="99"/>
      <c r="E19" s="18">
        <f>SUM(E16:E18)</f>
        <v>2187538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9" t="s">
        <v>25</v>
      </c>
      <c r="C20" s="90"/>
      <c r="D20" s="91"/>
      <c r="E20" s="27">
        <v>-2251256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9" t="s">
        <v>26</v>
      </c>
      <c r="C21" s="90"/>
      <c r="D21" s="91"/>
      <c r="E21" s="27">
        <v>-17625149.359999999</v>
      </c>
      <c r="F21" s="23" t="s">
        <v>4</v>
      </c>
      <c r="G21" s="15"/>
      <c r="H21" s="43"/>
      <c r="I21" s="2"/>
    </row>
    <row r="22" spans="1:9" x14ac:dyDescent="0.25">
      <c r="A22" s="2"/>
      <c r="B22" s="96" t="s">
        <v>27</v>
      </c>
      <c r="C22" s="84"/>
      <c r="D22" s="85"/>
      <c r="E22" s="27">
        <v>-9355446</v>
      </c>
      <c r="F22" s="23" t="s">
        <v>4</v>
      </c>
      <c r="G22" s="15"/>
      <c r="H22" s="43"/>
      <c r="I22" s="2"/>
    </row>
    <row r="23" spans="1:9" x14ac:dyDescent="0.25">
      <c r="A23" s="2"/>
      <c r="B23" s="96" t="s">
        <v>28</v>
      </c>
      <c r="C23" s="84"/>
      <c r="D23" s="85"/>
      <c r="E23" s="27">
        <v>-39163.64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9" t="s">
        <v>29</v>
      </c>
      <c r="C24" s="90"/>
      <c r="D24" s="91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9" t="s">
        <v>30</v>
      </c>
      <c r="C25" s="90"/>
      <c r="D25" s="91"/>
      <c r="E25" s="48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9" t="s">
        <v>31</v>
      </c>
      <c r="C26" s="90"/>
      <c r="D26" s="91"/>
      <c r="E26" s="27">
        <v>0</v>
      </c>
      <c r="F26" s="23" t="s">
        <v>4</v>
      </c>
      <c r="G26" s="15"/>
      <c r="H26" s="43"/>
      <c r="I26" s="2"/>
    </row>
    <row r="27" spans="1:9" x14ac:dyDescent="0.25">
      <c r="A27" s="2"/>
      <c r="B27" s="97" t="s">
        <v>32</v>
      </c>
      <c r="C27" s="98"/>
      <c r="D27" s="99"/>
      <c r="E27" s="18">
        <f>SUM(E20:E26)</f>
        <v>-29271015</v>
      </c>
      <c r="F27" s="38" t="s">
        <v>4</v>
      </c>
      <c r="G27" s="16"/>
      <c r="H27" s="44"/>
      <c r="I27" s="2"/>
    </row>
    <row r="28" spans="1:9" x14ac:dyDescent="0.25">
      <c r="A28" s="2"/>
      <c r="B28" s="97" t="s">
        <v>33</v>
      </c>
      <c r="C28" s="98"/>
      <c r="D28" s="99"/>
      <c r="E28" s="18">
        <f>E15+E19+E27</f>
        <v>10843675.016496144</v>
      </c>
      <c r="F28" s="38" t="s">
        <v>4</v>
      </c>
      <c r="G28" s="1">
        <f>IF(E28&lt;0,0,-E28)</f>
        <v>-10843675.016496144</v>
      </c>
      <c r="H28" s="38" t="s">
        <v>4</v>
      </c>
      <c r="I28" s="2"/>
    </row>
    <row r="29" spans="1:9" x14ac:dyDescent="0.25">
      <c r="A29" s="2"/>
      <c r="B29" s="92" t="s">
        <v>96</v>
      </c>
      <c r="C29" s="93"/>
      <c r="D29" s="93"/>
      <c r="E29" s="93"/>
      <c r="F29" s="93"/>
      <c r="G29" s="93"/>
      <c r="H29" s="94"/>
      <c r="I29" s="2"/>
    </row>
    <row r="30" spans="1:9" x14ac:dyDescent="0.25">
      <c r="A30" s="2"/>
      <c r="B30" s="97" t="s">
        <v>96</v>
      </c>
      <c r="C30" s="98"/>
      <c r="D30" s="99"/>
      <c r="E30" s="26">
        <v>0</v>
      </c>
      <c r="F30" s="38" t="s">
        <v>4</v>
      </c>
      <c r="G30" s="18">
        <f>-$E$30</f>
        <v>0</v>
      </c>
      <c r="H30" s="38" t="s">
        <v>4</v>
      </c>
      <c r="I30" s="2"/>
    </row>
    <row r="31" spans="1:9" x14ac:dyDescent="0.25">
      <c r="A31" s="2"/>
      <c r="B31" s="115" t="s">
        <v>57</v>
      </c>
      <c r="C31" s="93"/>
      <c r="D31" s="93"/>
      <c r="E31" s="93"/>
      <c r="F31" s="93"/>
      <c r="G31" s="93"/>
      <c r="H31" s="94"/>
      <c r="I31" s="2"/>
    </row>
    <row r="32" spans="1:9" ht="30" customHeight="1" x14ac:dyDescent="0.25">
      <c r="A32" s="2"/>
      <c r="B32" s="89" t="s">
        <v>58</v>
      </c>
      <c r="C32" s="90"/>
      <c r="D32" s="91"/>
      <c r="E32" s="27">
        <v>48535424</v>
      </c>
      <c r="F32" s="23" t="s">
        <v>4</v>
      </c>
      <c r="G32" s="20"/>
      <c r="H32" s="42"/>
      <c r="I32" s="2"/>
    </row>
    <row r="33" spans="1:9" x14ac:dyDescent="0.25">
      <c r="A33" s="2"/>
      <c r="B33" s="96" t="s">
        <v>34</v>
      </c>
      <c r="C33" s="84"/>
      <c r="D33" s="85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9" t="s">
        <v>35</v>
      </c>
      <c r="C34" s="90"/>
      <c r="D34" s="91"/>
      <c r="E34" s="27">
        <v>3819206.37</v>
      </c>
      <c r="F34" s="23" t="s">
        <v>4</v>
      </c>
      <c r="G34" s="16"/>
      <c r="H34" s="44"/>
      <c r="I34" s="2"/>
    </row>
    <row r="35" spans="1:9" x14ac:dyDescent="0.25">
      <c r="A35" s="2"/>
      <c r="B35" s="97" t="s">
        <v>36</v>
      </c>
      <c r="C35" s="98"/>
      <c r="D35" s="99"/>
      <c r="E35" s="18">
        <f>SUM(E32:E34)</f>
        <v>52354630.369999997</v>
      </c>
      <c r="F35" s="38" t="s">
        <v>4</v>
      </c>
      <c r="G35" s="18">
        <f>-E35</f>
        <v>-52354630.369999997</v>
      </c>
      <c r="H35" s="38" t="s">
        <v>4</v>
      </c>
      <c r="I35" s="2"/>
    </row>
    <row r="36" spans="1:9" x14ac:dyDescent="0.25">
      <c r="A36" s="2"/>
      <c r="B36" s="92" t="s">
        <v>97</v>
      </c>
      <c r="C36" s="93"/>
      <c r="D36" s="93"/>
      <c r="E36" s="93"/>
      <c r="F36" s="94"/>
      <c r="G36" s="21">
        <f>$G$9+$G$28+$G$30+$G$35</f>
        <v>3458789.2742515504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>
      <selection activeCell="F17" sqref="F17"/>
    </sheetView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5" t="s">
        <v>126</v>
      </c>
      <c r="C3" s="95"/>
      <c r="D3" s="95"/>
      <c r="E3" s="95"/>
      <c r="F3" s="95"/>
      <c r="G3" s="95"/>
      <c r="H3" s="2"/>
    </row>
    <row r="4" spans="1:8" ht="15" customHeight="1" x14ac:dyDescent="0.25">
      <c r="A4" s="2"/>
      <c r="B4" s="95"/>
      <c r="C4" s="95"/>
      <c r="D4" s="95"/>
      <c r="E4" s="95"/>
      <c r="F4" s="95"/>
      <c r="G4" s="9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2" t="s">
        <v>167</v>
      </c>
      <c r="C8" s="93"/>
      <c r="D8" s="93"/>
      <c r="E8" s="93"/>
      <c r="F8" s="93"/>
      <c r="G8" s="94"/>
      <c r="H8" s="2"/>
    </row>
    <row r="9" spans="1:8" ht="29.25" customHeight="1" x14ac:dyDescent="0.25">
      <c r="A9" s="2"/>
      <c r="B9" s="86" t="s">
        <v>116</v>
      </c>
      <c r="C9" s="88"/>
      <c r="D9" s="114" t="s">
        <v>47</v>
      </c>
      <c r="E9" s="114"/>
      <c r="F9" s="114" t="s">
        <v>127</v>
      </c>
      <c r="G9" s="114"/>
      <c r="H9" s="2"/>
    </row>
    <row r="10" spans="1:8" x14ac:dyDescent="0.25">
      <c r="A10" s="2"/>
      <c r="B10" s="116" t="s">
        <v>168</v>
      </c>
      <c r="C10" s="117"/>
      <c r="D10" s="49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2" t="s">
        <v>133</v>
      </c>
      <c r="C11" s="93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2" t="s">
        <v>145</v>
      </c>
      <c r="C12" s="94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2" t="s">
        <v>163</v>
      </c>
      <c r="C15" s="93"/>
      <c r="D15" s="93"/>
      <c r="E15" s="93"/>
      <c r="F15" s="93"/>
      <c r="G15" s="94"/>
      <c r="H15" s="2"/>
    </row>
    <row r="16" spans="1:8" ht="15" customHeight="1" x14ac:dyDescent="0.25">
      <c r="A16" s="2"/>
      <c r="B16" s="86" t="s">
        <v>180</v>
      </c>
      <c r="C16" s="87"/>
      <c r="D16" s="87"/>
      <c r="E16" s="88"/>
      <c r="F16" s="114" t="s">
        <v>164</v>
      </c>
      <c r="G16" s="114"/>
      <c r="H16" s="2"/>
    </row>
    <row r="17" spans="1:8" x14ac:dyDescent="0.25">
      <c r="A17" s="2"/>
      <c r="B17" s="96" t="s">
        <v>176</v>
      </c>
      <c r="C17" s="84"/>
      <c r="D17" s="84"/>
      <c r="E17" s="85"/>
      <c r="F17" s="27">
        <v>2010653</v>
      </c>
      <c r="G17" s="23" t="s">
        <v>4</v>
      </c>
      <c r="H17" s="2"/>
    </row>
    <row r="18" spans="1:8" x14ac:dyDescent="0.25">
      <c r="A18" s="2"/>
      <c r="B18" s="92" t="s">
        <v>165</v>
      </c>
      <c r="C18" s="93"/>
      <c r="D18" s="93"/>
      <c r="E18" s="94"/>
      <c r="F18" s="21">
        <f>SUM(F17:F17)</f>
        <v>2010653</v>
      </c>
      <c r="G18" s="22" t="s">
        <v>4</v>
      </c>
      <c r="H18" s="2"/>
    </row>
    <row r="19" spans="1:8" x14ac:dyDescent="0.25">
      <c r="A19" s="2"/>
      <c r="B19" s="92" t="s">
        <v>166</v>
      </c>
      <c r="C19" s="93"/>
      <c r="D19" s="93"/>
      <c r="E19" s="94"/>
      <c r="F19" s="21">
        <f>F18*(1+'Fane 2.1. Økonomisk ramme 2018'!E18/100)</f>
        <v>2045839.4275000002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5" t="s">
        <v>118</v>
      </c>
      <c r="C3" s="105"/>
      <c r="D3" s="105"/>
      <c r="E3" s="105"/>
      <c r="F3" s="105"/>
      <c r="G3" s="105"/>
      <c r="H3" s="2"/>
    </row>
    <row r="4" spans="1:8" ht="25.5" customHeight="1" x14ac:dyDescent="0.25">
      <c r="A4" s="2"/>
      <c r="B4" s="105"/>
      <c r="C4" s="105"/>
      <c r="D4" s="105"/>
      <c r="E4" s="105"/>
      <c r="F4" s="105"/>
      <c r="G4" s="10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2" t="s">
        <v>117</v>
      </c>
      <c r="C8" s="93"/>
      <c r="D8" s="93"/>
      <c r="E8" s="93"/>
      <c r="F8" s="93"/>
      <c r="G8" s="94"/>
      <c r="H8" s="2"/>
    </row>
    <row r="9" spans="1:8" ht="29.25" customHeight="1" x14ac:dyDescent="0.25">
      <c r="A9" s="2"/>
      <c r="B9" s="45" t="s">
        <v>119</v>
      </c>
      <c r="C9" s="46"/>
      <c r="D9" s="114" t="s">
        <v>47</v>
      </c>
      <c r="E9" s="114"/>
      <c r="F9" s="114" t="s">
        <v>127</v>
      </c>
      <c r="G9" s="114"/>
      <c r="H9" s="2"/>
    </row>
    <row r="10" spans="1:8" x14ac:dyDescent="0.25">
      <c r="A10" s="2"/>
      <c r="B10" s="35" t="s">
        <v>175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2" t="s">
        <v>128</v>
      </c>
      <c r="C11" s="94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2" t="s">
        <v>144</v>
      </c>
      <c r="C12" s="94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5" t="s">
        <v>109</v>
      </c>
      <c r="C3" s="95"/>
      <c r="D3" s="95"/>
      <c r="E3" s="95"/>
      <c r="F3" s="95"/>
      <c r="G3" s="95"/>
      <c r="H3" s="95"/>
      <c r="I3" s="2"/>
    </row>
    <row r="4" spans="1:9" ht="15" customHeight="1" x14ac:dyDescent="0.25">
      <c r="A4" s="2"/>
      <c r="B4" s="95"/>
      <c r="C4" s="95"/>
      <c r="D4" s="95"/>
      <c r="E4" s="95"/>
      <c r="F4" s="95"/>
      <c r="G4" s="95"/>
      <c r="H4" s="9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2" t="s">
        <v>56</v>
      </c>
      <c r="C8" s="93"/>
      <c r="D8" s="93"/>
      <c r="E8" s="93"/>
      <c r="F8" s="93"/>
      <c r="G8" s="93"/>
      <c r="H8" s="94"/>
      <c r="I8" s="2"/>
    </row>
    <row r="9" spans="1:9" ht="15" customHeight="1" x14ac:dyDescent="0.25">
      <c r="A9" s="2"/>
      <c r="B9" s="89" t="s">
        <v>60</v>
      </c>
      <c r="C9" s="90"/>
      <c r="D9" s="91"/>
      <c r="E9" s="8">
        <f>'Fane 3. Korrigeret grundlag'!G12</f>
        <v>69249268.042734265</v>
      </c>
      <c r="F9" s="9" t="s">
        <v>4</v>
      </c>
      <c r="G9" s="10"/>
      <c r="H9" s="11"/>
      <c r="I9" s="2"/>
    </row>
    <row r="10" spans="1:9" x14ac:dyDescent="0.25">
      <c r="A10" s="2"/>
      <c r="B10" s="83" t="s">
        <v>46</v>
      </c>
      <c r="C10" s="84"/>
      <c r="D10" s="85"/>
      <c r="E10" s="12">
        <f>'Fane 3. Korrigeret grundlag'!G11</f>
        <v>19334700.09279744</v>
      </c>
      <c r="F10" s="9" t="s">
        <v>4</v>
      </c>
      <c r="G10" s="13"/>
      <c r="H10" s="14"/>
      <c r="I10" s="2"/>
    </row>
    <row r="11" spans="1:9" x14ac:dyDescent="0.25">
      <c r="A11" s="2"/>
      <c r="B11" s="83" t="s">
        <v>121</v>
      </c>
      <c r="C11" s="84"/>
      <c r="D11" s="85"/>
      <c r="E11" s="12">
        <f>'Fane 4. Ikke-påvirkelige omk.'!G19</f>
        <v>-3003284.3259760002</v>
      </c>
      <c r="F11" s="9" t="s">
        <v>4</v>
      </c>
      <c r="G11" s="13"/>
      <c r="H11" s="14"/>
      <c r="I11" s="2"/>
    </row>
    <row r="12" spans="1:9" x14ac:dyDescent="0.25">
      <c r="A12" s="2"/>
      <c r="B12" s="52" t="s">
        <v>178</v>
      </c>
      <c r="C12" s="53"/>
      <c r="D12" s="54"/>
      <c r="E12" s="12">
        <f>'Fane 5. Individuelt eff.krav'!G10</f>
        <v>-861332.08413813054</v>
      </c>
      <c r="F12" s="9" t="s">
        <v>4</v>
      </c>
      <c r="G12" s="13"/>
      <c r="H12" s="14"/>
      <c r="I12" s="2"/>
    </row>
    <row r="13" spans="1:9" x14ac:dyDescent="0.25">
      <c r="A13" s="2"/>
      <c r="B13" s="89" t="s">
        <v>129</v>
      </c>
      <c r="C13" s="90"/>
      <c r="D13" s="91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89" t="s">
        <v>130</v>
      </c>
      <c r="C14" s="90"/>
      <c r="D14" s="91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9" t="s">
        <v>163</v>
      </c>
      <c r="C15" s="90"/>
      <c r="D15" s="91"/>
      <c r="E15" s="12">
        <f>'Fane 11. Tillæg'!F19</f>
        <v>2045839.4275000002</v>
      </c>
      <c r="F15" s="9" t="s">
        <v>4</v>
      </c>
      <c r="G15" s="13"/>
      <c r="H15" s="14"/>
      <c r="I15" s="2"/>
    </row>
    <row r="16" spans="1:9" x14ac:dyDescent="0.25">
      <c r="A16" s="2"/>
      <c r="B16" s="89" t="s">
        <v>131</v>
      </c>
      <c r="C16" s="90"/>
      <c r="D16" s="91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89" t="s">
        <v>132</v>
      </c>
      <c r="C17" s="90"/>
      <c r="D17" s="91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4" t="s">
        <v>124</v>
      </c>
      <c r="C18" s="32"/>
      <c r="D18" s="33"/>
      <c r="E18" s="30">
        <v>1.75</v>
      </c>
      <c r="F18" s="9" t="s">
        <v>38</v>
      </c>
      <c r="G18" s="13"/>
      <c r="H18" s="14"/>
      <c r="I18" s="2"/>
    </row>
    <row r="19" spans="1:9" x14ac:dyDescent="0.25">
      <c r="A19" s="2"/>
      <c r="B19" s="83" t="s">
        <v>123</v>
      </c>
      <c r="C19" s="84"/>
      <c r="D19" s="85"/>
      <c r="E19" s="12">
        <f>SUM(E9,E11:E17)*(E18/100)</f>
        <v>1180033.5935521026</v>
      </c>
      <c r="F19" s="9" t="s">
        <v>4</v>
      </c>
      <c r="G19" s="13"/>
      <c r="H19" s="14"/>
      <c r="I19" s="2"/>
    </row>
    <row r="20" spans="1:9" x14ac:dyDescent="0.25">
      <c r="A20" s="2"/>
      <c r="B20" s="96" t="s">
        <v>15</v>
      </c>
      <c r="C20" s="84"/>
      <c r="D20" s="85"/>
      <c r="E20" s="12">
        <f>'Fane 5. Individuelt eff.krav'!G12</f>
        <v>12362.38677983619</v>
      </c>
      <c r="F20" s="9" t="s">
        <v>4</v>
      </c>
      <c r="G20" s="15"/>
      <c r="H20" s="14"/>
      <c r="I20" s="2"/>
    </row>
    <row r="21" spans="1:9" x14ac:dyDescent="0.25">
      <c r="A21" s="2"/>
      <c r="B21" s="96" t="s">
        <v>16</v>
      </c>
      <c r="C21" s="84"/>
      <c r="D21" s="85"/>
      <c r="E21" s="12">
        <f>'Fane 6. Generelt eff.krav'!G17</f>
        <v>905966.48474163399</v>
      </c>
      <c r="F21" s="9" t="s">
        <v>4</v>
      </c>
      <c r="G21" s="16"/>
      <c r="H21" s="17"/>
      <c r="I21" s="2"/>
    </row>
    <row r="22" spans="1:9" x14ac:dyDescent="0.25">
      <c r="A22" s="2"/>
      <c r="B22" s="97" t="s">
        <v>169</v>
      </c>
      <c r="C22" s="98"/>
      <c r="D22" s="99"/>
      <c r="E22" s="18">
        <f>SUM(E9,E11:E17,E19)-SUM(E20:E21)</f>
        <v>67692195.78215076</v>
      </c>
      <c r="F22" s="19" t="s">
        <v>4</v>
      </c>
      <c r="G22" s="18">
        <f>E22</f>
        <v>67692195.78215076</v>
      </c>
      <c r="H22" s="19" t="s">
        <v>4</v>
      </c>
      <c r="I22" s="2"/>
    </row>
    <row r="23" spans="1:9" x14ac:dyDescent="0.25">
      <c r="A23" s="2"/>
      <c r="B23" s="92" t="s">
        <v>17</v>
      </c>
      <c r="C23" s="93"/>
      <c r="D23" s="93"/>
      <c r="E23" s="93"/>
      <c r="F23" s="93"/>
      <c r="G23" s="93"/>
      <c r="H23" s="94"/>
      <c r="I23" s="2"/>
    </row>
    <row r="24" spans="1:9" x14ac:dyDescent="0.25">
      <c r="A24" s="2"/>
      <c r="B24" s="86" t="s">
        <v>55</v>
      </c>
      <c r="C24" s="87"/>
      <c r="D24" s="88"/>
      <c r="E24" s="18">
        <f>'Fane 7. Hist. over el. underdæk'!G13</f>
        <v>0</v>
      </c>
      <c r="F24" s="19" t="s">
        <v>4</v>
      </c>
      <c r="G24" s="18">
        <f>E24</f>
        <v>0</v>
      </c>
      <c r="H24" s="19" t="s">
        <v>4</v>
      </c>
      <c r="I24" s="2"/>
    </row>
    <row r="25" spans="1:9" x14ac:dyDescent="0.25">
      <c r="A25" s="2"/>
      <c r="B25" s="92" t="s">
        <v>98</v>
      </c>
      <c r="C25" s="93"/>
      <c r="D25" s="93"/>
      <c r="E25" s="93"/>
      <c r="F25" s="93"/>
      <c r="G25" s="93"/>
      <c r="H25" s="94"/>
      <c r="I25" s="2"/>
    </row>
    <row r="26" spans="1:9" x14ac:dyDescent="0.25">
      <c r="A26" s="2"/>
      <c r="B26" s="89" t="s">
        <v>105</v>
      </c>
      <c r="C26" s="90"/>
      <c r="D26" s="91"/>
      <c r="E26" s="12">
        <f>'Fane 9. Korrektion af PL2016'!G11</f>
        <v>-271352</v>
      </c>
      <c r="F26" s="9" t="s">
        <v>4</v>
      </c>
      <c r="G26" s="20"/>
      <c r="H26" s="11"/>
      <c r="I26" s="2"/>
    </row>
    <row r="27" spans="1:9" x14ac:dyDescent="0.25">
      <c r="A27" s="2"/>
      <c r="B27" s="89" t="s">
        <v>99</v>
      </c>
      <c r="C27" s="90"/>
      <c r="D27" s="91"/>
      <c r="E27" s="12">
        <f>'Fane 9. Korrektion af PL2016'!G17</f>
        <v>-160657.59000000008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89" t="s">
        <v>100</v>
      </c>
      <c r="C28" s="90"/>
      <c r="D28" s="91"/>
      <c r="E28" s="12">
        <f>'Fane 9. Korrektion af PL2016'!G23</f>
        <v>0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89" t="s">
        <v>101</v>
      </c>
      <c r="C29" s="90"/>
      <c r="D29" s="91"/>
      <c r="E29" s="12">
        <f>'Fane 9. Korrektion af PL2016'!G29</f>
        <v>0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89" t="s">
        <v>102</v>
      </c>
      <c r="C30" s="90"/>
      <c r="D30" s="91"/>
      <c r="E30" s="12">
        <f>'Fane 9. Korrektion af PL2016'!G35</f>
        <v>-68824.958433333435</v>
      </c>
      <c r="F30" s="9" t="s">
        <v>4</v>
      </c>
      <c r="G30" s="15"/>
      <c r="H30" s="14"/>
      <c r="I30" s="2"/>
    </row>
    <row r="31" spans="1:9" x14ac:dyDescent="0.25">
      <c r="A31" s="2"/>
      <c r="B31" s="86" t="s">
        <v>103</v>
      </c>
      <c r="C31" s="87"/>
      <c r="D31" s="88"/>
      <c r="E31" s="18">
        <f>SUM(E26:E30)</f>
        <v>-500834.54843333352</v>
      </c>
      <c r="F31" s="19" t="s">
        <v>4</v>
      </c>
      <c r="G31" s="18">
        <f>E31</f>
        <v>-500834.54843333352</v>
      </c>
      <c r="H31" s="19" t="s">
        <v>4</v>
      </c>
      <c r="I31" s="2"/>
    </row>
    <row r="32" spans="1:9" x14ac:dyDescent="0.25">
      <c r="A32" s="2"/>
      <c r="B32" s="92" t="s">
        <v>18</v>
      </c>
      <c r="C32" s="93"/>
      <c r="D32" s="93"/>
      <c r="E32" s="93"/>
      <c r="F32" s="93"/>
      <c r="G32" s="93"/>
      <c r="H32" s="94"/>
      <c r="I32" s="2"/>
    </row>
    <row r="33" spans="1:9" x14ac:dyDescent="0.25">
      <c r="A33" s="2"/>
      <c r="B33" s="86" t="s">
        <v>104</v>
      </c>
      <c r="C33" s="87"/>
      <c r="D33" s="88"/>
      <c r="E33" s="18">
        <f>'Fane 10. Kontrol af PL2016'!G36</f>
        <v>3458789.2742515504</v>
      </c>
      <c r="F33" s="19" t="s">
        <v>4</v>
      </c>
      <c r="G33" s="18">
        <f>E33</f>
        <v>3458789.2742515504</v>
      </c>
      <c r="H33" s="19" t="s">
        <v>4</v>
      </c>
      <c r="I33" s="2"/>
    </row>
    <row r="34" spans="1:9" x14ac:dyDescent="0.25">
      <c r="A34" s="2"/>
      <c r="B34" s="92" t="s">
        <v>62</v>
      </c>
      <c r="C34" s="93"/>
      <c r="D34" s="93"/>
      <c r="E34" s="93"/>
      <c r="F34" s="94"/>
      <c r="G34" s="21">
        <f>G22+G24+G31+G33</f>
        <v>70650150.507968977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tabSelected="1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5" t="s">
        <v>108</v>
      </c>
      <c r="C3" s="95"/>
      <c r="D3" s="95"/>
      <c r="E3" s="95"/>
      <c r="F3" s="95"/>
      <c r="G3" s="95"/>
      <c r="H3" s="95"/>
      <c r="I3" s="2"/>
    </row>
    <row r="4" spans="1:9" ht="15" customHeight="1" x14ac:dyDescent="0.25">
      <c r="A4" s="2"/>
      <c r="B4" s="95"/>
      <c r="C4" s="95"/>
      <c r="D4" s="95"/>
      <c r="E4" s="95"/>
      <c r="F4" s="95"/>
      <c r="G4" s="95"/>
      <c r="H4" s="9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2" t="s">
        <v>56</v>
      </c>
      <c r="C8" s="93"/>
      <c r="D8" s="93"/>
      <c r="E8" s="93"/>
      <c r="F8" s="93"/>
      <c r="G8" s="93"/>
      <c r="H8" s="94"/>
      <c r="I8" s="2"/>
    </row>
    <row r="9" spans="1:9" x14ac:dyDescent="0.25">
      <c r="A9" s="2"/>
      <c r="B9" s="89" t="s">
        <v>106</v>
      </c>
      <c r="C9" s="90"/>
      <c r="D9" s="91"/>
      <c r="E9" s="8">
        <f>'Fane 2.1. Økonomisk ramme 2018'!G22</f>
        <v>67692195.78215076</v>
      </c>
      <c r="F9" s="9" t="s">
        <v>4</v>
      </c>
      <c r="G9" s="10"/>
      <c r="H9" s="11"/>
      <c r="I9" s="2"/>
    </row>
    <row r="10" spans="1:9" x14ac:dyDescent="0.25">
      <c r="A10" s="2"/>
      <c r="B10" s="83" t="s">
        <v>46</v>
      </c>
      <c r="C10" s="100"/>
      <c r="D10" s="101"/>
      <c r="E10" s="12">
        <f>(SUM('Fane 2.1. Økonomisk ramme 2018'!E10:E11))*(1+'Fane 2.1. Økonomisk ramme 2018'!E18/100)</f>
        <v>16617215.542740816</v>
      </c>
      <c r="F10" s="9" t="s">
        <v>4</v>
      </c>
      <c r="G10" s="13"/>
      <c r="H10" s="14"/>
      <c r="I10" s="2"/>
    </row>
    <row r="11" spans="1:9" x14ac:dyDescent="0.25">
      <c r="A11" s="2"/>
      <c r="B11" s="96" t="s">
        <v>61</v>
      </c>
      <c r="C11" s="84"/>
      <c r="D11" s="85"/>
      <c r="E11" s="12">
        <f>$E$9*'Fane 2.1. Økonomisk ramme 2018'!E18/100</f>
        <v>1184613.4261876384</v>
      </c>
      <c r="F11" s="9" t="s">
        <v>4</v>
      </c>
      <c r="G11" s="15"/>
      <c r="H11" s="14"/>
      <c r="I11" s="2"/>
    </row>
    <row r="12" spans="1:9" x14ac:dyDescent="0.25">
      <c r="A12" s="2"/>
      <c r="B12" s="96" t="s">
        <v>15</v>
      </c>
      <c r="C12" s="84"/>
      <c r="D12" s="85"/>
      <c r="E12" s="12">
        <f>($E$9-$E$10)*(1+'Fane 2.1. Økonomisk ramme 2018'!E18/100)*'Fane 5. Individuelt eff.krav'!$G$11/100</f>
        <v>12871.906396134656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905166.19275244151</v>
      </c>
      <c r="F13" s="9" t="s">
        <v>4</v>
      </c>
      <c r="G13" s="16"/>
      <c r="H13" s="17"/>
      <c r="I13" s="2"/>
    </row>
    <row r="14" spans="1:9" x14ac:dyDescent="0.25">
      <c r="A14" s="2"/>
      <c r="B14" s="97" t="s">
        <v>169</v>
      </c>
      <c r="C14" s="98"/>
      <c r="D14" s="99"/>
      <c r="E14" s="18">
        <f>$E$9+$E$11-$E$12-$E$13</f>
        <v>67958771.109189823</v>
      </c>
      <c r="F14" s="19" t="s">
        <v>4</v>
      </c>
      <c r="G14" s="18">
        <f>E14</f>
        <v>67958771.109189823</v>
      </c>
      <c r="H14" s="19" t="s">
        <v>4</v>
      </c>
      <c r="I14" s="2"/>
    </row>
    <row r="15" spans="1:9" x14ac:dyDescent="0.25">
      <c r="A15" s="2"/>
      <c r="B15" s="92" t="s">
        <v>17</v>
      </c>
      <c r="C15" s="93"/>
      <c r="D15" s="93"/>
      <c r="E15" s="93"/>
      <c r="F15" s="93"/>
      <c r="G15" s="93"/>
      <c r="H15" s="94"/>
      <c r="I15" s="2"/>
    </row>
    <row r="16" spans="1:9" ht="15" customHeight="1" x14ac:dyDescent="0.25">
      <c r="A16" s="2"/>
      <c r="B16" s="86" t="s">
        <v>55</v>
      </c>
      <c r="C16" s="87"/>
      <c r="D16" s="88"/>
      <c r="E16" s="18">
        <f>IF('Fane 7. Hist. over el. underdæk'!$G$12&gt;1,'Fane 7. Hist. over el. underdæk'!$G$13,0)</f>
        <v>0</v>
      </c>
      <c r="F16" s="19" t="s">
        <v>4</v>
      </c>
      <c r="G16" s="18">
        <f>E16</f>
        <v>0</v>
      </c>
      <c r="H16" s="19" t="s">
        <v>4</v>
      </c>
      <c r="I16" s="2"/>
    </row>
    <row r="17" spans="1:9" x14ac:dyDescent="0.25">
      <c r="A17" s="2"/>
      <c r="B17" s="92" t="s">
        <v>107</v>
      </c>
      <c r="C17" s="93"/>
      <c r="D17" s="93"/>
      <c r="E17" s="93"/>
      <c r="F17" s="94"/>
      <c r="G17" s="21">
        <f>G14+G16</f>
        <v>67958771.109189823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5" t="s">
        <v>139</v>
      </c>
      <c r="C3" s="105"/>
      <c r="D3" s="105"/>
      <c r="E3" s="105"/>
      <c r="F3" s="105"/>
      <c r="G3" s="105"/>
      <c r="H3" s="105"/>
      <c r="I3" s="2"/>
    </row>
    <row r="4" spans="1:9" ht="29.25" customHeight="1" x14ac:dyDescent="0.25">
      <c r="A4" s="2"/>
      <c r="B4" s="105"/>
      <c r="C4" s="105"/>
      <c r="D4" s="105"/>
      <c r="E4" s="105"/>
      <c r="F4" s="105"/>
      <c r="G4" s="105"/>
      <c r="H4" s="10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2" t="s">
        <v>141</v>
      </c>
      <c r="C8" s="93"/>
      <c r="D8" s="93"/>
      <c r="E8" s="93"/>
      <c r="F8" s="93"/>
      <c r="G8" s="93"/>
      <c r="H8" s="94"/>
      <c r="I8" s="2"/>
    </row>
    <row r="9" spans="1:9" x14ac:dyDescent="0.25">
      <c r="A9" s="2"/>
      <c r="B9" s="96" t="s">
        <v>110</v>
      </c>
      <c r="C9" s="84"/>
      <c r="D9" s="84"/>
      <c r="E9" s="84"/>
      <c r="F9" s="85"/>
      <c r="G9" s="27">
        <v>7252280.4335424099</v>
      </c>
      <c r="H9" s="23" t="s">
        <v>4</v>
      </c>
      <c r="I9" s="2"/>
    </row>
    <row r="10" spans="1:9" x14ac:dyDescent="0.25">
      <c r="A10" s="2"/>
      <c r="B10" s="96" t="s">
        <v>111</v>
      </c>
      <c r="C10" s="84"/>
      <c r="D10" s="84"/>
      <c r="E10" s="84"/>
      <c r="F10" s="85"/>
      <c r="G10" s="27">
        <v>42662287.516394414</v>
      </c>
      <c r="H10" s="23" t="s">
        <v>4</v>
      </c>
      <c r="I10" s="2"/>
    </row>
    <row r="11" spans="1:9" x14ac:dyDescent="0.25">
      <c r="A11" s="2"/>
      <c r="B11" s="96" t="s">
        <v>138</v>
      </c>
      <c r="C11" s="84"/>
      <c r="D11" s="84"/>
      <c r="E11" s="84"/>
      <c r="F11" s="85"/>
      <c r="G11" s="27">
        <v>19334700.09279744</v>
      </c>
      <c r="H11" s="23" t="s">
        <v>4</v>
      </c>
      <c r="I11" s="2"/>
    </row>
    <row r="12" spans="1:9" ht="17.25" customHeight="1" x14ac:dyDescent="0.25">
      <c r="A12" s="2"/>
      <c r="B12" s="102" t="s">
        <v>143</v>
      </c>
      <c r="C12" s="103"/>
      <c r="D12" s="103"/>
      <c r="E12" s="103"/>
      <c r="F12" s="104"/>
      <c r="G12" s="21">
        <f>SUM(G9:G11)</f>
        <v>69249268.042734265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>
      <selection activeCell="E23" sqref="E23"/>
    </sheetView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5" t="s">
        <v>112</v>
      </c>
      <c r="C3" s="95"/>
      <c r="D3" s="95"/>
      <c r="E3" s="95"/>
      <c r="F3" s="95"/>
      <c r="G3" s="95"/>
      <c r="H3" s="95"/>
      <c r="I3" s="2"/>
    </row>
    <row r="4" spans="1:9" ht="15" customHeight="1" x14ac:dyDescent="0.25">
      <c r="A4" s="2"/>
      <c r="B4" s="95"/>
      <c r="C4" s="95"/>
      <c r="D4" s="95"/>
      <c r="E4" s="95"/>
      <c r="F4" s="95"/>
      <c r="G4" s="95"/>
      <c r="H4" s="9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2" t="s">
        <v>113</v>
      </c>
      <c r="C8" s="93"/>
      <c r="D8" s="93"/>
      <c r="E8" s="93"/>
      <c r="F8" s="93"/>
      <c r="G8" s="93"/>
      <c r="H8" s="94"/>
      <c r="I8" s="2"/>
    </row>
    <row r="9" spans="1:9" ht="51.75" customHeight="1" x14ac:dyDescent="0.25">
      <c r="A9" s="2"/>
      <c r="B9" s="86" t="s">
        <v>115</v>
      </c>
      <c r="C9" s="87"/>
      <c r="D9" s="88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6" t="s">
        <v>155</v>
      </c>
      <c r="C10" s="107"/>
      <c r="D10" s="107"/>
      <c r="E10" s="50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6" t="s">
        <v>156</v>
      </c>
      <c r="C11" s="107"/>
      <c r="D11" s="107"/>
      <c r="E11" s="50">
        <v>128236.8412</v>
      </c>
      <c r="F11" s="23" t="s">
        <v>4</v>
      </c>
      <c r="G11" s="27">
        <v>105677</v>
      </c>
      <c r="H11" s="23" t="s">
        <v>4</v>
      </c>
      <c r="I11" s="2"/>
    </row>
    <row r="12" spans="1:9" x14ac:dyDescent="0.25">
      <c r="A12" s="2"/>
      <c r="B12" s="106" t="s">
        <v>157</v>
      </c>
      <c r="C12" s="107"/>
      <c r="D12" s="107"/>
      <c r="E12" s="50">
        <v>0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06" t="s">
        <v>158</v>
      </c>
      <c r="C13" s="107"/>
      <c r="D13" s="107"/>
      <c r="E13" s="50">
        <v>32399.4126</v>
      </c>
      <c r="F13" s="23" t="s">
        <v>4</v>
      </c>
      <c r="G13" s="27">
        <v>44410</v>
      </c>
      <c r="H13" s="23" t="s">
        <v>4</v>
      </c>
      <c r="I13" s="2"/>
    </row>
    <row r="14" spans="1:9" x14ac:dyDescent="0.25">
      <c r="A14" s="2"/>
      <c r="B14" s="106" t="s">
        <v>159</v>
      </c>
      <c r="C14" s="107"/>
      <c r="D14" s="107"/>
      <c r="E14" s="50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6" t="s">
        <v>160</v>
      </c>
      <c r="C15" s="107"/>
      <c r="D15" s="107"/>
      <c r="E15" s="50">
        <v>0</v>
      </c>
      <c r="F15" s="23" t="s">
        <v>4</v>
      </c>
      <c r="G15" s="27">
        <v>0</v>
      </c>
      <c r="H15" s="23" t="s">
        <v>4</v>
      </c>
      <c r="I15" s="2"/>
    </row>
    <row r="16" spans="1:9" x14ac:dyDescent="0.25">
      <c r="A16" s="2"/>
      <c r="B16" s="106" t="s">
        <v>161</v>
      </c>
      <c r="C16" s="107"/>
      <c r="D16" s="107"/>
      <c r="E16" s="50">
        <v>18931592.533399999</v>
      </c>
      <c r="F16" s="23" t="s">
        <v>4</v>
      </c>
      <c r="G16" s="27">
        <v>15990511</v>
      </c>
      <c r="H16" s="23" t="s">
        <v>4</v>
      </c>
      <c r="I16" s="2"/>
    </row>
    <row r="17" spans="1:9" x14ac:dyDescent="0.25">
      <c r="A17" s="2"/>
      <c r="B17" s="106" t="s">
        <v>162</v>
      </c>
      <c r="C17" s="107"/>
      <c r="D17" s="107"/>
      <c r="E17" s="50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92" t="s">
        <v>134</v>
      </c>
      <c r="C18" s="93"/>
      <c r="D18" s="93"/>
      <c r="E18" s="93"/>
      <c r="F18" s="94"/>
      <c r="G18" s="21">
        <f>SUM(G10:G17)-SUM(E10:E17)</f>
        <v>-2951630.7872000001</v>
      </c>
      <c r="H18" s="22" t="s">
        <v>4</v>
      </c>
      <c r="I18" s="2"/>
    </row>
    <row r="19" spans="1:9" x14ac:dyDescent="0.25">
      <c r="A19" s="2"/>
      <c r="B19" s="92" t="s">
        <v>135</v>
      </c>
      <c r="C19" s="93"/>
      <c r="D19" s="93"/>
      <c r="E19" s="93"/>
      <c r="F19" s="94"/>
      <c r="G19" s="21">
        <f>G18*(1+'Fane 2.1. Økonomisk ramme 2018'!E18/100)</f>
        <v>-3003284.3259760002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5" t="s">
        <v>71</v>
      </c>
      <c r="C3" s="95"/>
      <c r="D3" s="95"/>
      <c r="E3" s="95"/>
      <c r="F3" s="95"/>
      <c r="G3" s="95"/>
      <c r="H3" s="95"/>
      <c r="I3" s="2"/>
    </row>
    <row r="4" spans="1:9" ht="15" customHeight="1" x14ac:dyDescent="0.25">
      <c r="A4" s="2"/>
      <c r="B4" s="95"/>
      <c r="C4" s="95"/>
      <c r="D4" s="95"/>
      <c r="E4" s="95"/>
      <c r="F4" s="95"/>
      <c r="G4" s="95"/>
      <c r="H4" s="9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2" t="s">
        <v>15</v>
      </c>
      <c r="C8" s="93"/>
      <c r="D8" s="93"/>
      <c r="E8" s="93"/>
      <c r="F8" s="93"/>
      <c r="G8" s="93"/>
      <c r="H8" s="94"/>
      <c r="I8" s="2"/>
    </row>
    <row r="9" spans="1:9" x14ac:dyDescent="0.25">
      <c r="A9" s="2"/>
      <c r="B9" s="96" t="s">
        <v>51</v>
      </c>
      <c r="C9" s="84"/>
      <c r="D9" s="84"/>
      <c r="E9" s="84"/>
      <c r="F9" s="85"/>
      <c r="G9" s="12">
        <f>'Fane 3. Korrigeret grundlag'!G12-'Fane 3. Korrigeret grundlag'!G11+SUM('Fane 2.1. Økonomisk ramme 2018'!E13:E14,'Fane 2.1. Økonomisk ramme 2018'!E16:E17)</f>
        <v>49914567.949936822</v>
      </c>
      <c r="H9" s="23" t="s">
        <v>4</v>
      </c>
      <c r="I9" s="2"/>
    </row>
    <row r="10" spans="1:9" x14ac:dyDescent="0.25">
      <c r="A10" s="2"/>
      <c r="B10" s="55" t="s">
        <v>178</v>
      </c>
      <c r="C10" s="53"/>
      <c r="D10" s="53"/>
      <c r="E10" s="53"/>
      <c r="F10" s="54"/>
      <c r="G10" s="12">
        <v>-861332.08413813054</v>
      </c>
      <c r="H10" s="23" t="s">
        <v>4</v>
      </c>
      <c r="I10" s="2"/>
    </row>
    <row r="11" spans="1:9" x14ac:dyDescent="0.25">
      <c r="A11" s="2"/>
      <c r="B11" s="96" t="s">
        <v>37</v>
      </c>
      <c r="C11" s="84"/>
      <c r="D11" s="84"/>
      <c r="E11" s="84"/>
      <c r="F11" s="85"/>
      <c r="G11" s="29">
        <v>2.4768530888010273E-2</v>
      </c>
      <c r="H11" s="23" t="s">
        <v>38</v>
      </c>
      <c r="I11" s="2"/>
    </row>
    <row r="12" spans="1:9" x14ac:dyDescent="0.25">
      <c r="A12" s="2"/>
      <c r="B12" s="92" t="s">
        <v>15</v>
      </c>
      <c r="C12" s="93"/>
      <c r="D12" s="93"/>
      <c r="E12" s="93"/>
      <c r="F12" s="94"/>
      <c r="G12" s="21">
        <f>($G$9+G10)*(1+'Fane 2.1. Økonomisk ramme 2018'!E18/100)*($G$11/100)</f>
        <v>12362.38677983619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5" t="s">
        <v>72</v>
      </c>
      <c r="C3" s="95"/>
      <c r="D3" s="95"/>
      <c r="E3" s="95"/>
      <c r="F3" s="95"/>
      <c r="G3" s="95"/>
      <c r="H3" s="95"/>
      <c r="I3" s="2"/>
    </row>
    <row r="4" spans="1:9" ht="15" customHeight="1" x14ac:dyDescent="0.25">
      <c r="A4" s="2"/>
      <c r="B4" s="95"/>
      <c r="C4" s="95"/>
      <c r="D4" s="95"/>
      <c r="E4" s="95"/>
      <c r="F4" s="95"/>
      <c r="G4" s="95"/>
      <c r="H4" s="9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2" t="s">
        <v>53</v>
      </c>
      <c r="C8" s="93"/>
      <c r="D8" s="93"/>
      <c r="E8" s="93"/>
      <c r="F8" s="93"/>
      <c r="G8" s="93"/>
      <c r="H8" s="94"/>
      <c r="I8" s="2"/>
    </row>
    <row r="9" spans="1:9" x14ac:dyDescent="0.25">
      <c r="A9" s="2"/>
      <c r="B9" s="108" t="s">
        <v>47</v>
      </c>
      <c r="C9" s="109"/>
      <c r="D9" s="109"/>
      <c r="E9" s="109"/>
      <c r="F9" s="110"/>
      <c r="G9" s="12">
        <f>'Fane 3. Korrigeret grundlag'!G9+(SUM('Fane 2.1. Økonomisk ramme 2018'!E13,'Fane 2.1. Økonomisk ramme 2018'!E16))</f>
        <v>7252280.4335424099</v>
      </c>
      <c r="H9" s="23" t="s">
        <v>4</v>
      </c>
      <c r="I9" s="2"/>
    </row>
    <row r="10" spans="1:9" x14ac:dyDescent="0.25">
      <c r="A10" s="2"/>
      <c r="B10" s="56" t="s">
        <v>177</v>
      </c>
      <c r="C10" s="57"/>
      <c r="D10" s="57"/>
      <c r="E10" s="57"/>
      <c r="F10" s="58"/>
      <c r="G10" s="12">
        <v>-145045.6</v>
      </c>
      <c r="H10" s="23" t="s">
        <v>4</v>
      </c>
      <c r="I10" s="2"/>
    </row>
    <row r="11" spans="1:9" x14ac:dyDescent="0.25">
      <c r="A11" s="2"/>
      <c r="B11" s="96" t="s">
        <v>16</v>
      </c>
      <c r="C11" s="84"/>
      <c r="D11" s="84"/>
      <c r="E11" s="84"/>
      <c r="F11" s="85"/>
      <c r="G11" s="37">
        <f>2</f>
        <v>2</v>
      </c>
      <c r="H11" s="23" t="s">
        <v>38</v>
      </c>
      <c r="I11" s="2"/>
    </row>
    <row r="12" spans="1:9" x14ac:dyDescent="0.25">
      <c r="A12" s="2"/>
      <c r="B12" s="97" t="s">
        <v>39</v>
      </c>
      <c r="C12" s="98"/>
      <c r="D12" s="98"/>
      <c r="E12" s="98"/>
      <c r="F12" s="99"/>
      <c r="G12" s="18">
        <f>($G$9+$G$10)*(1+'Fane 2.1. Økonomisk ramme 2018'!E18/100)*$G$11/100</f>
        <v>144632.22886258806</v>
      </c>
      <c r="H12" s="38" t="s">
        <v>4</v>
      </c>
      <c r="I12" s="2"/>
    </row>
    <row r="13" spans="1:9" x14ac:dyDescent="0.25">
      <c r="A13" s="2"/>
      <c r="B13" s="96" t="s">
        <v>48</v>
      </c>
      <c r="C13" s="84"/>
      <c r="D13" s="84"/>
      <c r="E13" s="84"/>
      <c r="F13" s="85"/>
      <c r="G13" s="12">
        <f xml:space="preserve"> 'Fane 3. Korrigeret grundlag'!G10+SUM('Fane 2.1. Økonomisk ramme 2018'!E14,'Fane 2.1. Økonomisk ramme 2018'!E17)</f>
        <v>42662287.516394414</v>
      </c>
      <c r="H13" s="23" t="s">
        <v>4</v>
      </c>
      <c r="I13" s="2"/>
    </row>
    <row r="14" spans="1:9" x14ac:dyDescent="0.25">
      <c r="A14" s="2"/>
      <c r="B14" s="55" t="s">
        <v>179</v>
      </c>
      <c r="C14" s="53"/>
      <c r="D14" s="53"/>
      <c r="E14" s="53"/>
      <c r="F14" s="54"/>
      <c r="G14" s="12">
        <v>-388838.08600000001</v>
      </c>
      <c r="H14" s="23" t="s">
        <v>4</v>
      </c>
      <c r="I14" s="2"/>
    </row>
    <row r="15" spans="1:9" x14ac:dyDescent="0.25">
      <c r="A15" s="2"/>
      <c r="B15" s="96" t="s">
        <v>16</v>
      </c>
      <c r="C15" s="84"/>
      <c r="D15" s="84"/>
      <c r="E15" s="84"/>
      <c r="F15" s="85"/>
      <c r="G15" s="30">
        <v>1.77</v>
      </c>
      <c r="H15" s="23" t="s">
        <v>38</v>
      </c>
      <c r="I15" s="2"/>
    </row>
    <row r="16" spans="1:9" x14ac:dyDescent="0.25">
      <c r="A16" s="2"/>
      <c r="B16" s="97" t="s">
        <v>40</v>
      </c>
      <c r="C16" s="98"/>
      <c r="D16" s="98"/>
      <c r="E16" s="98"/>
      <c r="F16" s="99"/>
      <c r="G16" s="18">
        <f>($G$13+$G$14)*(1+'Fane 2.1. Økonomisk ramme 2018'!E18/100)*$G$15/100</f>
        <v>761334.25587904593</v>
      </c>
      <c r="H16" s="38" t="s">
        <v>4</v>
      </c>
      <c r="I16" s="2"/>
    </row>
    <row r="17" spans="1:9" x14ac:dyDescent="0.25">
      <c r="A17" s="2"/>
      <c r="B17" s="92" t="s">
        <v>52</v>
      </c>
      <c r="C17" s="93"/>
      <c r="D17" s="93"/>
      <c r="E17" s="93"/>
      <c r="F17" s="94"/>
      <c r="G17" s="21">
        <f>G12+G16</f>
        <v>905966.48474163399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>
      <selection activeCell="E23" sqref="E23"/>
    </sheetView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5" t="s">
        <v>73</v>
      </c>
      <c r="C3" s="95"/>
      <c r="D3" s="95"/>
      <c r="E3" s="95"/>
      <c r="F3" s="95"/>
      <c r="G3" s="95"/>
      <c r="H3" s="95"/>
      <c r="I3" s="2"/>
    </row>
    <row r="4" spans="1:9" ht="15" customHeight="1" x14ac:dyDescent="0.25">
      <c r="A4" s="2"/>
      <c r="B4" s="95"/>
      <c r="C4" s="95"/>
      <c r="D4" s="95"/>
      <c r="E4" s="95"/>
      <c r="F4" s="95"/>
      <c r="G4" s="95"/>
      <c r="H4" s="9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2" t="s">
        <v>54</v>
      </c>
      <c r="C8" s="93"/>
      <c r="D8" s="93"/>
      <c r="E8" s="93"/>
      <c r="F8" s="93"/>
      <c r="G8" s="93"/>
      <c r="H8" s="94"/>
      <c r="I8" s="2"/>
    </row>
    <row r="9" spans="1:9" x14ac:dyDescent="0.25">
      <c r="A9" s="2"/>
      <c r="B9" s="96" t="s">
        <v>42</v>
      </c>
      <c r="C9" s="84"/>
      <c r="D9" s="84"/>
      <c r="E9" s="84"/>
      <c r="F9" s="85"/>
      <c r="G9" s="27">
        <v>-2522359</v>
      </c>
      <c r="H9" s="23" t="s">
        <v>4</v>
      </c>
      <c r="I9" s="2"/>
    </row>
    <row r="10" spans="1:9" x14ac:dyDescent="0.25">
      <c r="A10" s="2"/>
      <c r="B10" s="96" t="s">
        <v>120</v>
      </c>
      <c r="C10" s="84"/>
      <c r="D10" s="84"/>
      <c r="E10" s="84"/>
      <c r="F10" s="85"/>
      <c r="G10" s="27">
        <v>-2522359</v>
      </c>
      <c r="H10" s="23" t="s">
        <v>4</v>
      </c>
      <c r="I10" s="2"/>
    </row>
    <row r="11" spans="1:9" x14ac:dyDescent="0.25">
      <c r="A11" s="2"/>
      <c r="B11" s="111" t="s">
        <v>45</v>
      </c>
      <c r="C11" s="112"/>
      <c r="D11" s="112"/>
      <c r="E11" s="112"/>
      <c r="F11" s="113"/>
      <c r="G11" s="51">
        <f>G9-G10</f>
        <v>0</v>
      </c>
      <c r="H11" s="39" t="s">
        <v>4</v>
      </c>
      <c r="I11" s="2"/>
    </row>
    <row r="12" spans="1:9" x14ac:dyDescent="0.25">
      <c r="A12" s="2"/>
      <c r="B12" s="96" t="s">
        <v>43</v>
      </c>
      <c r="C12" s="84"/>
      <c r="D12" s="84"/>
      <c r="E12" s="84"/>
      <c r="F12" s="85"/>
      <c r="G12" s="27">
        <v>0</v>
      </c>
      <c r="H12" s="23" t="s">
        <v>125</v>
      </c>
      <c r="I12" s="2"/>
    </row>
    <row r="13" spans="1:9" x14ac:dyDescent="0.25">
      <c r="A13" s="2"/>
      <c r="B13" s="92" t="s">
        <v>41</v>
      </c>
      <c r="C13" s="93"/>
      <c r="D13" s="93"/>
      <c r="E13" s="93"/>
      <c r="F13" s="94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5" t="s">
        <v>74</v>
      </c>
      <c r="C3" s="95"/>
      <c r="D3" s="95"/>
      <c r="E3" s="95"/>
      <c r="F3" s="95"/>
      <c r="G3" s="95"/>
      <c r="H3" s="2"/>
    </row>
    <row r="4" spans="1:8" ht="15" customHeight="1" x14ac:dyDescent="0.25">
      <c r="A4" s="2"/>
      <c r="B4" s="95"/>
      <c r="C4" s="95"/>
      <c r="D4" s="95"/>
      <c r="E4" s="95"/>
      <c r="F4" s="95"/>
      <c r="G4" s="9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2" t="s">
        <v>75</v>
      </c>
      <c r="C8" s="93"/>
      <c r="D8" s="93"/>
      <c r="E8" s="93"/>
      <c r="F8" s="93"/>
      <c r="G8" s="94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4" t="s">
        <v>3</v>
      </c>
      <c r="G9" s="114"/>
      <c r="H9" s="2"/>
    </row>
    <row r="10" spans="1:8" x14ac:dyDescent="0.25">
      <c r="A10" s="2"/>
      <c r="B10" s="47" t="s">
        <v>146</v>
      </c>
      <c r="C10" s="41">
        <v>2016</v>
      </c>
      <c r="D10" s="28">
        <v>75</v>
      </c>
      <c r="E10" s="27">
        <v>216044.71</v>
      </c>
      <c r="F10" s="12">
        <f>E10/D10</f>
        <v>2880.596133333333</v>
      </c>
      <c r="G10" s="23" t="s">
        <v>4</v>
      </c>
      <c r="H10" s="2"/>
    </row>
    <row r="11" spans="1:8" x14ac:dyDescent="0.25">
      <c r="A11" s="2"/>
      <c r="B11" s="47" t="s">
        <v>146</v>
      </c>
      <c r="C11" s="41">
        <v>2016</v>
      </c>
      <c r="D11" s="28">
        <v>75</v>
      </c>
      <c r="E11" s="27">
        <v>437651.63</v>
      </c>
      <c r="F11" s="12">
        <f t="shared" ref="F11:F45" si="0">E11/D11</f>
        <v>5835.355066666667</v>
      </c>
      <c r="G11" s="23" t="s">
        <v>4</v>
      </c>
      <c r="H11" s="2"/>
    </row>
    <row r="12" spans="1:8" x14ac:dyDescent="0.25">
      <c r="A12" s="2"/>
      <c r="B12" s="47" t="s">
        <v>146</v>
      </c>
      <c r="C12" s="41">
        <v>2016</v>
      </c>
      <c r="D12" s="28">
        <v>75</v>
      </c>
      <c r="E12" s="27">
        <v>147342.73000000001</v>
      </c>
      <c r="F12" s="12">
        <f t="shared" si="0"/>
        <v>1964.5697333333335</v>
      </c>
      <c r="G12" s="23" t="s">
        <v>4</v>
      </c>
      <c r="H12" s="2"/>
    </row>
    <row r="13" spans="1:8" x14ac:dyDescent="0.25">
      <c r="A13" s="2"/>
      <c r="B13" s="47" t="s">
        <v>146</v>
      </c>
      <c r="C13" s="41">
        <v>2016</v>
      </c>
      <c r="D13" s="28">
        <v>75</v>
      </c>
      <c r="E13" s="27">
        <v>402436.67</v>
      </c>
      <c r="F13" s="12">
        <f t="shared" si="0"/>
        <v>5365.8222666666661</v>
      </c>
      <c r="G13" s="23" t="s">
        <v>4</v>
      </c>
      <c r="H13" s="2"/>
    </row>
    <row r="14" spans="1:8" x14ac:dyDescent="0.25">
      <c r="A14" s="2"/>
      <c r="B14" s="47" t="s">
        <v>146</v>
      </c>
      <c r="C14" s="41">
        <v>2016</v>
      </c>
      <c r="D14" s="28">
        <v>75</v>
      </c>
      <c r="E14" s="27">
        <v>2647027.44</v>
      </c>
      <c r="F14" s="12">
        <f t="shared" si="0"/>
        <v>35293.699200000003</v>
      </c>
      <c r="G14" s="23" t="s">
        <v>4</v>
      </c>
      <c r="H14" s="2"/>
    </row>
    <row r="15" spans="1:8" x14ac:dyDescent="0.25">
      <c r="A15" s="2"/>
      <c r="B15" s="47" t="s">
        <v>147</v>
      </c>
      <c r="C15" s="41">
        <v>2016</v>
      </c>
      <c r="D15" s="28">
        <v>20</v>
      </c>
      <c r="E15" s="27">
        <v>1288370.31</v>
      </c>
      <c r="F15" s="12">
        <f t="shared" si="0"/>
        <v>64418.515500000001</v>
      </c>
      <c r="G15" s="23" t="s">
        <v>4</v>
      </c>
      <c r="H15" s="2"/>
    </row>
    <row r="16" spans="1:8" x14ac:dyDescent="0.25">
      <c r="A16" s="2"/>
      <c r="B16" s="47" t="s">
        <v>148</v>
      </c>
      <c r="C16" s="41">
        <v>2016</v>
      </c>
      <c r="D16" s="28">
        <v>75</v>
      </c>
      <c r="E16" s="27">
        <v>1730070.36</v>
      </c>
      <c r="F16" s="12">
        <f t="shared" si="0"/>
        <v>23067.604800000001</v>
      </c>
      <c r="G16" s="23" t="s">
        <v>4</v>
      </c>
      <c r="H16" s="2"/>
    </row>
    <row r="17" spans="1:8" x14ac:dyDescent="0.25">
      <c r="A17" s="2"/>
      <c r="B17" s="47" t="s">
        <v>147</v>
      </c>
      <c r="C17" s="41">
        <v>2016</v>
      </c>
      <c r="D17" s="28">
        <v>20</v>
      </c>
      <c r="E17" s="27">
        <v>289485.64</v>
      </c>
      <c r="F17" s="12">
        <f t="shared" si="0"/>
        <v>14474.282000000001</v>
      </c>
      <c r="G17" s="23" t="s">
        <v>4</v>
      </c>
      <c r="H17" s="2"/>
    </row>
    <row r="18" spans="1:8" x14ac:dyDescent="0.25">
      <c r="A18" s="2"/>
      <c r="B18" s="47" t="s">
        <v>146</v>
      </c>
      <c r="C18" s="41">
        <v>2016</v>
      </c>
      <c r="D18" s="28">
        <v>75</v>
      </c>
      <c r="E18" s="27">
        <v>170282.52</v>
      </c>
      <c r="F18" s="12">
        <f t="shared" si="0"/>
        <v>2270.4335999999998</v>
      </c>
      <c r="G18" s="23" t="s">
        <v>4</v>
      </c>
      <c r="H18" s="2"/>
    </row>
    <row r="19" spans="1:8" x14ac:dyDescent="0.25">
      <c r="A19" s="2"/>
      <c r="B19" s="47" t="s">
        <v>148</v>
      </c>
      <c r="C19" s="41">
        <v>2016</v>
      </c>
      <c r="D19" s="28">
        <v>75</v>
      </c>
      <c r="E19" s="27">
        <v>115023.05</v>
      </c>
      <c r="F19" s="12">
        <f t="shared" si="0"/>
        <v>1533.6406666666667</v>
      </c>
      <c r="G19" s="23" t="s">
        <v>4</v>
      </c>
      <c r="H19" s="2"/>
    </row>
    <row r="20" spans="1:8" ht="26.25" x14ac:dyDescent="0.25">
      <c r="A20" s="2"/>
      <c r="B20" s="47" t="s">
        <v>149</v>
      </c>
      <c r="C20" s="41">
        <v>2016</v>
      </c>
      <c r="D20" s="28">
        <v>50</v>
      </c>
      <c r="E20" s="27">
        <v>1415995.87</v>
      </c>
      <c r="F20" s="12">
        <f t="shared" si="0"/>
        <v>28319.917400000002</v>
      </c>
      <c r="G20" s="23" t="s">
        <v>4</v>
      </c>
      <c r="H20" s="2"/>
    </row>
    <row r="21" spans="1:8" x14ac:dyDescent="0.25">
      <c r="A21" s="2"/>
      <c r="B21" s="47" t="s">
        <v>147</v>
      </c>
      <c r="C21" s="41">
        <v>2016</v>
      </c>
      <c r="D21" s="28">
        <v>20</v>
      </c>
      <c r="E21" s="27">
        <v>1199618.73</v>
      </c>
      <c r="F21" s="12">
        <f t="shared" si="0"/>
        <v>59980.936499999996</v>
      </c>
      <c r="G21" s="23" t="s">
        <v>4</v>
      </c>
      <c r="H21" s="2"/>
    </row>
    <row r="22" spans="1:8" x14ac:dyDescent="0.25">
      <c r="A22" s="2"/>
      <c r="B22" s="47" t="s">
        <v>148</v>
      </c>
      <c r="C22" s="41">
        <v>2016</v>
      </c>
      <c r="D22" s="28">
        <v>75</v>
      </c>
      <c r="E22" s="27">
        <v>240858.74</v>
      </c>
      <c r="F22" s="12">
        <f t="shared" si="0"/>
        <v>3211.4498666666664</v>
      </c>
      <c r="G22" s="23" t="s">
        <v>4</v>
      </c>
      <c r="H22" s="2"/>
    </row>
    <row r="23" spans="1:8" ht="26.25" x14ac:dyDescent="0.25">
      <c r="A23" s="2"/>
      <c r="B23" s="47" t="s">
        <v>149</v>
      </c>
      <c r="C23" s="41">
        <v>2016</v>
      </c>
      <c r="D23" s="28">
        <v>50</v>
      </c>
      <c r="E23" s="27">
        <v>279019.09999999998</v>
      </c>
      <c r="F23" s="12">
        <f t="shared" si="0"/>
        <v>5580.3819999999996</v>
      </c>
      <c r="G23" s="23" t="s">
        <v>4</v>
      </c>
      <c r="H23" s="2"/>
    </row>
    <row r="24" spans="1:8" x14ac:dyDescent="0.25">
      <c r="A24" s="2"/>
      <c r="B24" s="47" t="s">
        <v>146</v>
      </c>
      <c r="C24" s="41">
        <v>2016</v>
      </c>
      <c r="D24" s="28">
        <v>75</v>
      </c>
      <c r="E24" s="27">
        <v>3499899.36</v>
      </c>
      <c r="F24" s="12">
        <f t="shared" si="0"/>
        <v>46665.324799999995</v>
      </c>
      <c r="G24" s="23" t="s">
        <v>4</v>
      </c>
      <c r="H24" s="2"/>
    </row>
    <row r="25" spans="1:8" x14ac:dyDescent="0.25">
      <c r="A25" s="2"/>
      <c r="B25" s="47" t="s">
        <v>150</v>
      </c>
      <c r="C25" s="41">
        <v>2016</v>
      </c>
      <c r="D25" s="28">
        <v>75</v>
      </c>
      <c r="E25" s="27">
        <v>606316.5</v>
      </c>
      <c r="F25" s="12">
        <f t="shared" si="0"/>
        <v>8084.22</v>
      </c>
      <c r="G25" s="23" t="s">
        <v>4</v>
      </c>
      <c r="H25" s="2"/>
    </row>
    <row r="26" spans="1:8" x14ac:dyDescent="0.25">
      <c r="A26" s="2"/>
      <c r="B26" s="47" t="s">
        <v>146</v>
      </c>
      <c r="C26" s="41">
        <v>2016</v>
      </c>
      <c r="D26" s="28">
        <v>75</v>
      </c>
      <c r="E26" s="27">
        <v>2837949.19</v>
      </c>
      <c r="F26" s="12">
        <f t="shared" si="0"/>
        <v>37839.322533333332</v>
      </c>
      <c r="G26" s="23" t="s">
        <v>4</v>
      </c>
      <c r="H26" s="2"/>
    </row>
    <row r="27" spans="1:8" x14ac:dyDescent="0.25">
      <c r="A27" s="2"/>
      <c r="B27" s="47" t="s">
        <v>146</v>
      </c>
      <c r="C27" s="41">
        <v>2016</v>
      </c>
      <c r="D27" s="28">
        <v>75</v>
      </c>
      <c r="E27" s="27">
        <v>785090.97</v>
      </c>
      <c r="F27" s="12">
        <f t="shared" si="0"/>
        <v>10467.8796</v>
      </c>
      <c r="G27" s="23" t="s">
        <v>4</v>
      </c>
      <c r="H27" s="2"/>
    </row>
    <row r="28" spans="1:8" x14ac:dyDescent="0.25">
      <c r="A28" s="2"/>
      <c r="B28" s="47" t="s">
        <v>146</v>
      </c>
      <c r="C28" s="41">
        <v>2016</v>
      </c>
      <c r="D28" s="28">
        <v>75</v>
      </c>
      <c r="E28" s="27">
        <v>43032.37</v>
      </c>
      <c r="F28" s="12">
        <f t="shared" si="0"/>
        <v>573.76493333333337</v>
      </c>
      <c r="G28" s="23" t="s">
        <v>4</v>
      </c>
      <c r="H28" s="2"/>
    </row>
    <row r="29" spans="1:8" x14ac:dyDescent="0.25">
      <c r="A29" s="2"/>
      <c r="B29" s="47" t="s">
        <v>146</v>
      </c>
      <c r="C29" s="41">
        <v>2016</v>
      </c>
      <c r="D29" s="28">
        <v>75</v>
      </c>
      <c r="E29" s="27">
        <v>395836.47</v>
      </c>
      <c r="F29" s="12">
        <f t="shared" si="0"/>
        <v>5277.8195999999998</v>
      </c>
      <c r="G29" s="23" t="s">
        <v>4</v>
      </c>
      <c r="H29" s="2"/>
    </row>
    <row r="30" spans="1:8" ht="26.25" x14ac:dyDescent="0.25">
      <c r="A30" s="2"/>
      <c r="B30" s="47" t="s">
        <v>151</v>
      </c>
      <c r="C30" s="41">
        <v>2016</v>
      </c>
      <c r="D30" s="28">
        <v>50</v>
      </c>
      <c r="E30" s="27">
        <v>253254.16</v>
      </c>
      <c r="F30" s="12">
        <f t="shared" si="0"/>
        <v>5065.0832</v>
      </c>
      <c r="G30" s="23" t="s">
        <v>4</v>
      </c>
      <c r="H30" s="2"/>
    </row>
    <row r="31" spans="1:8" x14ac:dyDescent="0.25">
      <c r="A31" s="2"/>
      <c r="B31" s="47" t="s">
        <v>146</v>
      </c>
      <c r="C31" s="41">
        <v>2016</v>
      </c>
      <c r="D31" s="28">
        <v>75</v>
      </c>
      <c r="E31" s="27">
        <v>552939.87</v>
      </c>
      <c r="F31" s="12">
        <f t="shared" si="0"/>
        <v>7372.5316000000003</v>
      </c>
      <c r="G31" s="23" t="s">
        <v>4</v>
      </c>
      <c r="H31" s="2"/>
    </row>
    <row r="32" spans="1:8" x14ac:dyDescent="0.25">
      <c r="A32" s="2"/>
      <c r="B32" s="47" t="s">
        <v>152</v>
      </c>
      <c r="C32" s="41">
        <v>2016</v>
      </c>
      <c r="D32" s="28">
        <v>20</v>
      </c>
      <c r="E32" s="27">
        <v>1000480.61</v>
      </c>
      <c r="F32" s="12">
        <f t="shared" si="0"/>
        <v>50024.030500000001</v>
      </c>
      <c r="G32" s="23" t="s">
        <v>4</v>
      </c>
      <c r="H32" s="2"/>
    </row>
    <row r="33" spans="1:8" x14ac:dyDescent="0.25">
      <c r="A33" s="2"/>
      <c r="B33" s="47" t="s">
        <v>146</v>
      </c>
      <c r="C33" s="41">
        <v>2016</v>
      </c>
      <c r="D33" s="28">
        <v>75</v>
      </c>
      <c r="E33" s="27">
        <v>348785.56</v>
      </c>
      <c r="F33" s="12">
        <f t="shared" si="0"/>
        <v>4650.4741333333332</v>
      </c>
      <c r="G33" s="23" t="s">
        <v>4</v>
      </c>
      <c r="H33" s="2"/>
    </row>
    <row r="34" spans="1:8" x14ac:dyDescent="0.25">
      <c r="A34" s="2"/>
      <c r="B34" s="47" t="s">
        <v>146</v>
      </c>
      <c r="C34" s="41">
        <v>2016</v>
      </c>
      <c r="D34" s="28">
        <v>75</v>
      </c>
      <c r="E34" s="27">
        <v>73321.490000000005</v>
      </c>
      <c r="F34" s="12">
        <f t="shared" si="0"/>
        <v>977.61986666666678</v>
      </c>
      <c r="G34" s="23" t="s">
        <v>4</v>
      </c>
      <c r="H34" s="2"/>
    </row>
    <row r="35" spans="1:8" x14ac:dyDescent="0.25">
      <c r="A35" s="2"/>
      <c r="B35" s="47" t="s">
        <v>146</v>
      </c>
      <c r="C35" s="41">
        <v>2016</v>
      </c>
      <c r="D35" s="28">
        <v>75</v>
      </c>
      <c r="E35" s="27">
        <v>130380.71</v>
      </c>
      <c r="F35" s="12">
        <f t="shared" si="0"/>
        <v>1738.4094666666667</v>
      </c>
      <c r="G35" s="23" t="s">
        <v>4</v>
      </c>
      <c r="H35" s="2"/>
    </row>
    <row r="36" spans="1:8" ht="26.25" x14ac:dyDescent="0.25">
      <c r="A36" s="2"/>
      <c r="B36" s="47" t="s">
        <v>151</v>
      </c>
      <c r="C36" s="41">
        <v>2016</v>
      </c>
      <c r="D36" s="28">
        <v>50</v>
      </c>
      <c r="E36" s="27">
        <v>2003327.12</v>
      </c>
      <c r="F36" s="12">
        <f t="shared" si="0"/>
        <v>40066.542400000006</v>
      </c>
      <c r="G36" s="23" t="s">
        <v>4</v>
      </c>
      <c r="H36" s="2"/>
    </row>
    <row r="37" spans="1:8" x14ac:dyDescent="0.25">
      <c r="A37" s="2"/>
      <c r="B37" s="47" t="s">
        <v>148</v>
      </c>
      <c r="C37" s="41">
        <v>2016</v>
      </c>
      <c r="D37" s="28">
        <v>75</v>
      </c>
      <c r="E37" s="27">
        <v>211360.56</v>
      </c>
      <c r="F37" s="12">
        <f t="shared" si="0"/>
        <v>2818.1408000000001</v>
      </c>
      <c r="G37" s="23" t="s">
        <v>4</v>
      </c>
      <c r="H37" s="2"/>
    </row>
    <row r="38" spans="1:8" x14ac:dyDescent="0.25">
      <c r="A38" s="2"/>
      <c r="B38" s="47" t="s">
        <v>146</v>
      </c>
      <c r="C38" s="41">
        <v>2016</v>
      </c>
      <c r="D38" s="28">
        <v>75</v>
      </c>
      <c r="E38" s="27">
        <v>166150.6</v>
      </c>
      <c r="F38" s="12">
        <f t="shared" si="0"/>
        <v>2215.3413333333333</v>
      </c>
      <c r="G38" s="23" t="s">
        <v>4</v>
      </c>
      <c r="H38" s="2"/>
    </row>
    <row r="39" spans="1:8" ht="26.25" x14ac:dyDescent="0.25">
      <c r="A39" s="2"/>
      <c r="B39" s="47" t="s">
        <v>151</v>
      </c>
      <c r="C39" s="41">
        <v>2016</v>
      </c>
      <c r="D39" s="28">
        <v>50</v>
      </c>
      <c r="E39" s="27">
        <v>499000.07</v>
      </c>
      <c r="F39" s="12">
        <f t="shared" si="0"/>
        <v>9980.001400000001</v>
      </c>
      <c r="G39" s="23" t="s">
        <v>4</v>
      </c>
      <c r="H39" s="2"/>
    </row>
    <row r="40" spans="1:8" ht="26.25" x14ac:dyDescent="0.25">
      <c r="A40" s="2"/>
      <c r="B40" s="47" t="s">
        <v>151</v>
      </c>
      <c r="C40" s="41">
        <v>2016</v>
      </c>
      <c r="D40" s="28">
        <v>50</v>
      </c>
      <c r="E40" s="27">
        <v>394674.3</v>
      </c>
      <c r="F40" s="12">
        <f t="shared" si="0"/>
        <v>7893.4859999999999</v>
      </c>
      <c r="G40" s="23" t="s">
        <v>4</v>
      </c>
      <c r="H40" s="2"/>
    </row>
    <row r="41" spans="1:8" x14ac:dyDescent="0.25">
      <c r="A41" s="2"/>
      <c r="B41" s="47" t="s">
        <v>146</v>
      </c>
      <c r="C41" s="41">
        <v>2016</v>
      </c>
      <c r="D41" s="28">
        <v>75</v>
      </c>
      <c r="E41" s="27">
        <v>368162.26</v>
      </c>
      <c r="F41" s="12">
        <f t="shared" si="0"/>
        <v>4908.8301333333338</v>
      </c>
      <c r="G41" s="23" t="s">
        <v>4</v>
      </c>
      <c r="H41" s="2"/>
    </row>
    <row r="42" spans="1:8" x14ac:dyDescent="0.25">
      <c r="A42" s="2"/>
      <c r="B42" s="47" t="s">
        <v>148</v>
      </c>
      <c r="C42" s="41">
        <v>2016</v>
      </c>
      <c r="D42" s="28">
        <v>75</v>
      </c>
      <c r="E42" s="27">
        <v>888598.59</v>
      </c>
      <c r="F42" s="12">
        <f t="shared" si="0"/>
        <v>11847.9812</v>
      </c>
      <c r="G42" s="23" t="s">
        <v>4</v>
      </c>
      <c r="H42" s="2"/>
    </row>
    <row r="43" spans="1:8" x14ac:dyDescent="0.25">
      <c r="A43" s="2"/>
      <c r="B43" s="47" t="s">
        <v>153</v>
      </c>
      <c r="C43" s="41">
        <v>2016</v>
      </c>
      <c r="D43" s="28">
        <v>5</v>
      </c>
      <c r="E43" s="27">
        <v>53125</v>
      </c>
      <c r="F43" s="12">
        <f t="shared" si="0"/>
        <v>10625</v>
      </c>
      <c r="G43" s="23" t="s">
        <v>4</v>
      </c>
      <c r="H43" s="2"/>
    </row>
    <row r="44" spans="1:8" x14ac:dyDescent="0.25">
      <c r="A44" s="2"/>
      <c r="B44" s="47" t="s">
        <v>154</v>
      </c>
      <c r="C44" s="41">
        <v>2016</v>
      </c>
      <c r="D44" s="28">
        <v>10</v>
      </c>
      <c r="E44" s="27">
        <v>51875</v>
      </c>
      <c r="F44" s="12">
        <f t="shared" si="0"/>
        <v>5187.5</v>
      </c>
      <c r="G44" s="23" t="s">
        <v>4</v>
      </c>
      <c r="H44" s="2"/>
    </row>
    <row r="45" spans="1:8" x14ac:dyDescent="0.25">
      <c r="A45" s="2"/>
      <c r="B45" s="47" t="s">
        <v>147</v>
      </c>
      <c r="C45" s="41">
        <v>2016</v>
      </c>
      <c r="D45" s="28">
        <v>20</v>
      </c>
      <c r="E45" s="27">
        <v>1187304</v>
      </c>
      <c r="F45" s="12">
        <f t="shared" si="0"/>
        <v>59365.2</v>
      </c>
      <c r="G45" s="23" t="s">
        <v>4</v>
      </c>
      <c r="H45" s="2"/>
    </row>
    <row r="46" spans="1:8" x14ac:dyDescent="0.25">
      <c r="A46" s="2"/>
      <c r="B46" s="92" t="s">
        <v>76</v>
      </c>
      <c r="C46" s="93"/>
      <c r="D46" s="93"/>
      <c r="E46" s="94"/>
      <c r="F46" s="21">
        <f>SUM(F10:F45)</f>
        <v>587841.70823333319</v>
      </c>
      <c r="G46" s="22" t="s">
        <v>4</v>
      </c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</sheetData>
  <sheetProtection password="DFE9" sheet="1" objects="1" scenarios="1"/>
  <mergeCells count="4">
    <mergeCell ref="B46:E4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2017-09-29T11:24:57Z</dcterms:modified>
</cp:coreProperties>
</file>