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G12" i="12" l="1"/>
  <c r="E16" i="15" l="1"/>
  <c r="G15" i="10"/>
  <c r="E13" i="15" l="1"/>
  <c r="G13" i="9" l="1"/>
  <c r="G9" i="9"/>
  <c r="G9" i="8"/>
  <c r="G16" i="9" l="1"/>
  <c r="G12" i="9"/>
  <c r="G12" i="8"/>
  <c r="E12" i="2"/>
  <c r="G11" i="10" l="1"/>
  <c r="F18" i="20"/>
  <c r="F19" i="20" s="1"/>
  <c r="E15" i="2" s="1"/>
  <c r="G19" i="19" l="1"/>
  <c r="G20" i="19" s="1"/>
  <c r="E11" i="2" s="1"/>
  <c r="F16" i="11" l="1"/>
  <c r="F15" i="11"/>
  <c r="F14" i="11"/>
  <c r="F13" i="11"/>
  <c r="F12" i="11"/>
  <c r="F11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E10" i="15" s="1"/>
  <c r="G12" i="7"/>
  <c r="E9" i="2" l="1"/>
  <c r="E19" i="2"/>
  <c r="E15" i="13"/>
  <c r="F10" i="11"/>
  <c r="F17" i="11"/>
  <c r="G16" i="15" l="1"/>
  <c r="G11" i="9" l="1"/>
  <c r="G30" i="13"/>
  <c r="E35" i="13" l="1"/>
  <c r="G35" i="13" s="1"/>
  <c r="E27" i="13"/>
  <c r="E19" i="13"/>
  <c r="E26" i="2"/>
  <c r="G30" i="12"/>
  <c r="E29" i="2" s="1"/>
  <c r="G24" i="12"/>
  <c r="E28" i="2" s="1"/>
  <c r="G18" i="12"/>
  <c r="E27" i="2" s="1"/>
  <c r="F18" i="11"/>
  <c r="E24" i="2"/>
  <c r="G24" i="2" s="1"/>
  <c r="G34" i="12" l="1"/>
  <c r="G36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<sst xmlns="http://schemas.openxmlformats.org/spreadsheetml/2006/main" count="356" uniqueCount="184">
  <si>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</si>
  <si>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</si>
  <si>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</si>
  <si>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</si>
  <si>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</si>
  <si>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</si>
  <si>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</si>
  <si>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</si>
  <si>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</si>
  <si>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</si>
  <si>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</si>
  <si>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</si>
  <si>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</si>
  <si>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</si>
  <si>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</si>
  <si>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</si>
  <si>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</si>
  <si>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</si>
  <si>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</si>
  <si>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</si>
  <si>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</si>
  <si>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</si>
  <si>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</si>
  <si>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</si>
  <si>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</si>
  <si>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</si>
  <si>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</si>
  <si>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</si>
  <si>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</si>
  <si>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</si>
  <si>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</si>
  <si>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</si>
  <si>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</si>
  <si>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</si>
  <si>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</si>
  <si>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</si>
  <si>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</si>
  <si>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</si>
  <si>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</si>
  <si>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</si>
  <si>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</si>
  <si>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</si>
  <si>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</si>
  <si>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</si>
  <si>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</si>
  <si>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</si>
  <si>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</si>
  <si>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</si>
  <si>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</si>
  <si>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</si>
  <si>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</si>
  <si>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</si>
  <si>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</si>
  <si>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</si>
  <si>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</si>
  <si>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</si>
  <si>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</si>
  <si>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</si>
  <si>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</si>
  <si>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</si>
  <si>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</si>
  <si>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</si>
  <si>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</si>
  <si>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</si>
  <si>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</si>
  <si>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</si>
  <si>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</si>
  <si>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</si>
  <si>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</si>
  <si>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</si>
  <si>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</si>
  <si>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</si>
  <si>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</si>
  <si>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</si>
  <si>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</si>
  <si>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</si>
  <si>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</si>
  <si>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</si>
  <si>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</si>
  <si>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</si>
  <si>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</si>
  <si>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</si>
  <si>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</si>
  <si>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</si>
  <si>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</si>
  <si>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</si>
  <si>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</si>
  <si>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</si>
  <si>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</si>
  <si>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</si>
  <si>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</si>
  <si>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</si>
  <si>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</si>
  <si>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</si>
  <si>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</si>
  <si>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</si>
  <si>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</si>
  <si>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</si>
  <si>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</si>
  <si>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</si>
  <si>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</si>
  <si>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</si>
  <si>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</si>
  <si>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</si>
  <si>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</si>
  <si>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</si>
  <si>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</si>
  <si>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</si>
  <si>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</si>
  <si>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</si>
  <si>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</si>
  <si>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</si>
  <si>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</si>
  <si>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</si>
  <si>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</si>
  <si>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</si>
  <si>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</si>
  <si>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</si>
  <si>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</si>
  <si>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</si>
  <si>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</si>
  <si>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</si>
  <si>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</si>
  <si>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</si>
  <si>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</si>
  <si>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</si>
  <si>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</si>
  <si>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</si>
  <si>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</si>
  <si>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</si>
  <si>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</si>
  <si>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</si>
  <si>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</si>
  <si>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</si>
  <si>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</si>
  <si>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</si>
  <si>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</si>
  <si>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</si>
  <si>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</si>
  <si>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</si>
  <si>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</si>
  <si>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</si>
  <si>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</si>
  <si>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</si>
  <si>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</si>
  <si>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</si>
  <si>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Køretøjer, store lastvogne (&gt; 3.500 kg.)</t>
  </si>
  <si>
    <t>Indløb med riste, SRO</t>
  </si>
  <si>
    <t>Pumpestationer i underjordiske bygværker (&lt;50 m2), SRO</t>
  </si>
  <si>
    <t>Forafvanding, slam, Mek/EL</t>
  </si>
  <si>
    <t>Indløb med riste, Mek/EL</t>
  </si>
  <si>
    <t>Jordbassin Klasse B</t>
  </si>
  <si>
    <t>Pumpestationer i brønde (&lt; 6,25 m2), Konstruktioner</t>
  </si>
  <si>
    <t>Ø 200 mm &lt; Ledningsnet ≤ Ø 500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</si>
  <si>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</si>
  <si>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</si>
  <si>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</si>
  <si>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</si>
  <si>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</si>
  <si>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</si>
  <si>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</si>
  <si>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</si>
  <si>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</si>
  <si>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</si>
  <si>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</si>
  <si>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</si>
  <si>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</si>
  <si>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</si>
  <si>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</si>
  <si>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</si>
  <si>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</si>
  <si>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</si>
  <si>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</si>
  <si>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</si>
  <si>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</si>
  <si>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</si>
  <si>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</si>
  <si>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</si>
  <si>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</si>
  <si>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</si>
  <si>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 xml:space="preserve">Driftsomkostninger til medfinansiering af klimatilpasningsprojekter </t>
  </si>
  <si>
    <t>Årlig tillæg for gæld til tjenestemandspensioner</t>
  </si>
  <si>
    <t>Resterende indregningsperiode for gæld til tjenestemandspensioner (frem til 2020)</t>
  </si>
  <si>
    <t>Tidligere indregnet tillæg for gæld til tjenestemandspensioner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</si>
</sst>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8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169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95" t="s">
        <v>78</v>
      </c>
      <c r="C9" s="83"/>
      <c r="D9" s="83"/>
      <c r="E9" s="83"/>
      <c r="F9" s="84"/>
      <c r="G9" s="27">
        <v>8031659</v>
      </c>
      <c r="H9" s="23" t="s">
        <v>4</v>
      </c>
      <c r="I9" s="2"/>
    </row>
    <row r="10" spans="1:9" x14ac:dyDescent="0.25">
      <c r="A10" s="2"/>
      <c r="B10" s="95" t="s">
        <v>183</v>
      </c>
      <c r="C10" s="83"/>
      <c r="D10" s="83"/>
      <c r="E10" s="83"/>
      <c r="F10" s="84"/>
      <c r="G10" s="27">
        <v>3927226</v>
      </c>
      <c r="H10" s="23" t="s">
        <v>4</v>
      </c>
      <c r="I10" s="2"/>
    </row>
    <row r="11" spans="1:9" x14ac:dyDescent="0.25">
      <c r="A11" s="2"/>
      <c r="B11" s="95" t="s">
        <v>79</v>
      </c>
      <c r="C11" s="83"/>
      <c r="D11" s="83"/>
      <c r="E11" s="83"/>
      <c r="F11" s="84"/>
      <c r="G11" s="27">
        <v>11400226</v>
      </c>
      <c r="H11" s="23" t="s">
        <v>4</v>
      </c>
      <c r="I11" s="2"/>
    </row>
    <row r="12" spans="1:9" x14ac:dyDescent="0.25">
      <c r="A12" s="2"/>
      <c r="B12" s="91" t="s">
        <v>170</v>
      </c>
      <c r="C12" s="92"/>
      <c r="D12" s="92"/>
      <c r="E12" s="92"/>
      <c r="F12" s="93"/>
      <c r="G12" s="21">
        <f>G9+G10-G11</f>
        <v>558659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4"/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101" t="s">
        <v>171</v>
      </c>
      <c r="C15" s="102"/>
      <c r="D15" s="102"/>
      <c r="E15" s="102"/>
      <c r="F15" s="102"/>
      <c r="G15" s="102"/>
      <c r="H15" s="103"/>
      <c r="I15" s="2"/>
    </row>
    <row r="16" spans="1:9" x14ac:dyDescent="0.25">
      <c r="A16" s="2"/>
      <c r="B16" s="95" t="s">
        <v>80</v>
      </c>
      <c r="C16" s="83"/>
      <c r="D16" s="83"/>
      <c r="E16" s="83"/>
      <c r="F16" s="84"/>
      <c r="G16" s="27">
        <v>24939657</v>
      </c>
      <c r="H16" s="23" t="s">
        <v>4</v>
      </c>
      <c r="I16" s="2"/>
    </row>
    <row r="17" spans="1:9" x14ac:dyDescent="0.25">
      <c r="A17" s="2"/>
      <c r="B17" s="95" t="s">
        <v>81</v>
      </c>
      <c r="C17" s="83"/>
      <c r="D17" s="83"/>
      <c r="E17" s="83"/>
      <c r="F17" s="84"/>
      <c r="G17" s="27">
        <v>30700000</v>
      </c>
      <c r="H17" s="23" t="s">
        <v>4</v>
      </c>
      <c r="I17" s="2"/>
    </row>
    <row r="18" spans="1:9" x14ac:dyDescent="0.25">
      <c r="A18" s="2"/>
      <c r="B18" s="91" t="s">
        <v>171</v>
      </c>
      <c r="C18" s="92"/>
      <c r="D18" s="92"/>
      <c r="E18" s="92"/>
      <c r="F18" s="93"/>
      <c r="G18" s="21">
        <f>G16-G17</f>
        <v>-5760343</v>
      </c>
      <c r="H18" s="22" t="s">
        <v>4</v>
      </c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24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101" t="s">
        <v>172</v>
      </c>
      <c r="C21" s="102"/>
      <c r="D21" s="102"/>
      <c r="E21" s="102"/>
      <c r="F21" s="102"/>
      <c r="G21" s="102"/>
      <c r="H21" s="103"/>
      <c r="I21" s="2"/>
    </row>
    <row r="22" spans="1:9" x14ac:dyDescent="0.25">
      <c r="A22" s="2"/>
      <c r="B22" s="95" t="s">
        <v>82</v>
      </c>
      <c r="C22" s="83"/>
      <c r="D22" s="83"/>
      <c r="E22" s="83"/>
      <c r="F22" s="84"/>
      <c r="G22" s="27">
        <v>194637</v>
      </c>
      <c r="H22" s="23" t="s">
        <v>4</v>
      </c>
      <c r="I22" s="2"/>
    </row>
    <row r="23" spans="1:9" x14ac:dyDescent="0.25">
      <c r="A23" s="2"/>
      <c r="B23" s="95" t="s">
        <v>83</v>
      </c>
      <c r="C23" s="83"/>
      <c r="D23" s="83"/>
      <c r="E23" s="83"/>
      <c r="F23" s="84"/>
      <c r="G23" s="27">
        <v>100000</v>
      </c>
      <c r="H23" s="23" t="s">
        <v>4</v>
      </c>
      <c r="I23" s="2"/>
    </row>
    <row r="24" spans="1:9" x14ac:dyDescent="0.25">
      <c r="A24" s="2"/>
      <c r="B24" s="91" t="s">
        <v>172</v>
      </c>
      <c r="C24" s="92"/>
      <c r="D24" s="92"/>
      <c r="E24" s="92"/>
      <c r="F24" s="93"/>
      <c r="G24" s="21">
        <f>G22-G23</f>
        <v>94637</v>
      </c>
      <c r="H24" s="22" t="s">
        <v>4</v>
      </c>
      <c r="I24" s="2"/>
    </row>
    <row r="25" spans="1:9" ht="15" customHeight="1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x14ac:dyDescent="0.25">
      <c r="A26" s="2"/>
      <c r="B26" s="24"/>
      <c r="C26" s="24"/>
      <c r="D26" s="24"/>
      <c r="E26" s="24"/>
      <c r="F26" s="24"/>
      <c r="G26" s="24"/>
      <c r="H26" s="24"/>
      <c r="I26" s="2"/>
    </row>
    <row r="27" spans="1:9" ht="15" customHeight="1" x14ac:dyDescent="0.25">
      <c r="A27" s="2"/>
      <c r="B27" s="101" t="s">
        <v>173</v>
      </c>
      <c r="C27" s="102"/>
      <c r="D27" s="102"/>
      <c r="E27" s="102"/>
      <c r="F27" s="102"/>
      <c r="G27" s="102"/>
      <c r="H27" s="103"/>
      <c r="I27" s="2"/>
    </row>
    <row r="28" spans="1:9" ht="29.25" customHeight="1" x14ac:dyDescent="0.25">
      <c r="A28" s="2"/>
      <c r="B28" s="88" t="s">
        <v>84</v>
      </c>
      <c r="C28" s="89"/>
      <c r="D28" s="89"/>
      <c r="E28" s="89"/>
      <c r="F28" s="90"/>
      <c r="G28" s="27">
        <v>0</v>
      </c>
      <c r="H28" s="23" t="s">
        <v>4</v>
      </c>
      <c r="I28" s="2"/>
    </row>
    <row r="29" spans="1:9" x14ac:dyDescent="0.25">
      <c r="A29" s="2"/>
      <c r="B29" s="95" t="s">
        <v>85</v>
      </c>
      <c r="C29" s="83"/>
      <c r="D29" s="83"/>
      <c r="E29" s="83"/>
      <c r="F29" s="84"/>
      <c r="G29" s="27">
        <v>354000</v>
      </c>
      <c r="H29" s="23" t="s">
        <v>4</v>
      </c>
      <c r="I29" s="2"/>
    </row>
    <row r="30" spans="1:9" ht="15" customHeight="1" x14ac:dyDescent="0.25">
      <c r="A30" s="2"/>
      <c r="B30" s="101" t="s">
        <v>173</v>
      </c>
      <c r="C30" s="102"/>
      <c r="D30" s="102"/>
      <c r="E30" s="102"/>
      <c r="F30" s="103"/>
      <c r="G30" s="21">
        <f>G28-G29</f>
        <v>-354000</v>
      </c>
      <c r="H30" s="22" t="s">
        <v>4</v>
      </c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24"/>
      <c r="C32" s="24"/>
      <c r="D32" s="24"/>
      <c r="E32" s="24"/>
      <c r="F32" s="24"/>
      <c r="G32" s="24"/>
      <c r="H32" s="24"/>
      <c r="I32" s="2"/>
    </row>
    <row r="33" spans="1:9" x14ac:dyDescent="0.25">
      <c r="A33" s="2"/>
      <c r="B33" s="101" t="s">
        <v>86</v>
      </c>
      <c r="C33" s="102"/>
      <c r="D33" s="102"/>
      <c r="E33" s="102"/>
      <c r="F33" s="102"/>
      <c r="G33" s="102"/>
      <c r="H33" s="103"/>
      <c r="I33" s="2"/>
    </row>
    <row r="34" spans="1:9" x14ac:dyDescent="0.25">
      <c r="A34" s="2"/>
      <c r="B34" s="95" t="s">
        <v>87</v>
      </c>
      <c r="C34" s="83"/>
      <c r="D34" s="83"/>
      <c r="E34" s="83"/>
      <c r="F34" s="84"/>
      <c r="G34" s="12">
        <f>'Fane 8. Gen. inv. i 2016'!F18</f>
        <v>7585337.3384000007</v>
      </c>
      <c r="H34" s="23" t="s">
        <v>4</v>
      </c>
      <c r="I34" s="2"/>
    </row>
    <row r="35" spans="1:9" x14ac:dyDescent="0.25">
      <c r="A35" s="2"/>
      <c r="B35" s="95" t="s">
        <v>88</v>
      </c>
      <c r="C35" s="83"/>
      <c r="D35" s="83"/>
      <c r="E35" s="83"/>
      <c r="F35" s="84"/>
      <c r="G35" s="27">
        <v>6461306.666666667</v>
      </c>
      <c r="H35" s="23" t="s">
        <v>4</v>
      </c>
      <c r="I35" s="2"/>
    </row>
    <row r="36" spans="1:9" x14ac:dyDescent="0.25">
      <c r="A36" s="2"/>
      <c r="B36" s="91" t="s">
        <v>86</v>
      </c>
      <c r="C36" s="92"/>
      <c r="D36" s="92"/>
      <c r="E36" s="92"/>
      <c r="F36" s="93"/>
      <c r="G36" s="21">
        <f>G34-G35</f>
        <v>1124030.6717333337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sheetProtection password="DFE9" sheet="1" objects="1" scenarios="1"/>
  <mergeCells count="22">
    <mergeCell ref="B35:F35"/>
    <mergeCell ref="B36:F36"/>
    <mergeCell ref="B27:H27"/>
    <mergeCell ref="B30:F30"/>
    <mergeCell ref="B24:F24"/>
    <mergeCell ref="B33:H33"/>
    <mergeCell ref="B34:F34"/>
    <mergeCell ref="B28:F28"/>
    <mergeCell ref="B29:F29"/>
    <mergeCell ref="B3:H4"/>
    <mergeCell ref="B8:H8"/>
    <mergeCell ref="B12:F12"/>
    <mergeCell ref="B11:F11"/>
    <mergeCell ref="B9:F9"/>
    <mergeCell ref="B10:F10"/>
    <mergeCell ref="B22:F22"/>
    <mergeCell ref="B23:F23"/>
    <mergeCell ref="B15:H15"/>
    <mergeCell ref="B16:F16"/>
    <mergeCell ref="B17:F17"/>
    <mergeCell ref="B18:F18"/>
    <mergeCell ref="B21:H2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topLeftCell="A19" zoomScaleNormal="100" workbookViewId="0">
      <selection activeCell="G36" sqref="G36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90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379364328.15347612</v>
      </c>
      <c r="H9" s="38" t="s">
        <v>4</v>
      </c>
      <c r="I9" s="2"/>
    </row>
    <row r="10" spans="1:9" x14ac:dyDescent="0.25">
      <c r="A10" s="2"/>
      <c r="B10" s="91" t="s">
        <v>92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95" t="s">
        <v>19</v>
      </c>
      <c r="C11" s="83"/>
      <c r="D11" s="84"/>
      <c r="E11" s="27">
        <v>159075898</v>
      </c>
      <c r="F11" s="23" t="s">
        <v>4</v>
      </c>
      <c r="G11" s="20"/>
      <c r="H11" s="42"/>
      <c r="I11" s="2"/>
    </row>
    <row r="12" spans="1:9" x14ac:dyDescent="0.25">
      <c r="A12" s="2"/>
      <c r="B12" s="95" t="s">
        <v>93</v>
      </c>
      <c r="C12" s="83"/>
      <c r="D12" s="84"/>
      <c r="E12" s="27">
        <v>31598427</v>
      </c>
      <c r="F12" s="23" t="s">
        <v>4</v>
      </c>
      <c r="G12" s="15"/>
      <c r="H12" s="43"/>
      <c r="I12" s="2"/>
    </row>
    <row r="13" spans="1:9" x14ac:dyDescent="0.25">
      <c r="A13" s="2"/>
      <c r="B13" s="95" t="s">
        <v>94</v>
      </c>
      <c r="C13" s="83"/>
      <c r="D13" s="84"/>
      <c r="E13" s="27">
        <v>592194</v>
      </c>
      <c r="F13" s="23" t="s">
        <v>4</v>
      </c>
      <c r="G13" s="15"/>
      <c r="H13" s="43"/>
      <c r="I13" s="2"/>
    </row>
    <row r="14" spans="1:9" x14ac:dyDescent="0.25">
      <c r="A14" s="2"/>
      <c r="B14" s="95" t="s">
        <v>95</v>
      </c>
      <c r="C14" s="83"/>
      <c r="D14" s="84"/>
      <c r="E14" s="27">
        <v>15277280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206543799</v>
      </c>
      <c r="F15" s="38" t="s">
        <v>4</v>
      </c>
      <c r="G15" s="15"/>
      <c r="H15" s="43"/>
      <c r="I15" s="2"/>
    </row>
    <row r="16" spans="1:9" x14ac:dyDescent="0.25">
      <c r="A16" s="2"/>
      <c r="B16" s="95" t="s">
        <v>21</v>
      </c>
      <c r="C16" s="83"/>
      <c r="D16" s="84"/>
      <c r="E16" s="27">
        <v>15201888.65</v>
      </c>
      <c r="F16" s="23" t="s">
        <v>4</v>
      </c>
      <c r="G16" s="15"/>
      <c r="H16" s="43"/>
      <c r="I16" s="2"/>
    </row>
    <row r="17" spans="1:9" x14ac:dyDescent="0.25">
      <c r="A17" s="2"/>
      <c r="B17" s="95" t="s">
        <v>22</v>
      </c>
      <c r="C17" s="83"/>
      <c r="D17" s="84"/>
      <c r="E17" s="27">
        <v>50350</v>
      </c>
      <c r="F17" s="23" t="s">
        <v>4</v>
      </c>
      <c r="G17" s="15"/>
      <c r="H17" s="43"/>
      <c r="I17" s="2"/>
    </row>
    <row r="18" spans="1:9" x14ac:dyDescent="0.25">
      <c r="A18" s="2"/>
      <c r="B18" s="95" t="s">
        <v>23</v>
      </c>
      <c r="C18" s="83"/>
      <c r="D18" s="84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15252238.65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8" t="s">
        <v>25</v>
      </c>
      <c r="C20" s="89"/>
      <c r="D20" s="90"/>
      <c r="E20" s="27">
        <v>-41645182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8" t="s">
        <v>26</v>
      </c>
      <c r="C21" s="89"/>
      <c r="D21" s="90"/>
      <c r="E21" s="27">
        <v>-78220803</v>
      </c>
      <c r="F21" s="23" t="s">
        <v>4</v>
      </c>
      <c r="G21" s="15"/>
      <c r="H21" s="43"/>
      <c r="I21" s="2"/>
    </row>
    <row r="22" spans="1:9" x14ac:dyDescent="0.25">
      <c r="A22" s="2"/>
      <c r="B22" s="95" t="s">
        <v>27</v>
      </c>
      <c r="C22" s="83"/>
      <c r="D22" s="84"/>
      <c r="E22" s="27">
        <v>-129566213</v>
      </c>
      <c r="F22" s="23" t="s">
        <v>4</v>
      </c>
      <c r="G22" s="15"/>
      <c r="H22" s="43"/>
      <c r="I22" s="2"/>
    </row>
    <row r="23" spans="1:9" x14ac:dyDescent="0.25">
      <c r="A23" s="2"/>
      <c r="B23" s="95" t="s">
        <v>28</v>
      </c>
      <c r="C23" s="83"/>
      <c r="D23" s="84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8" t="s">
        <v>29</v>
      </c>
      <c r="C24" s="89"/>
      <c r="D24" s="90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8" t="s">
        <v>30</v>
      </c>
      <c r="C25" s="89"/>
      <c r="D25" s="90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8" t="s">
        <v>31</v>
      </c>
      <c r="C26" s="89"/>
      <c r="D26" s="90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-249432198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-27636160.349999994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1" t="s">
        <v>96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96" t="s">
        <v>96</v>
      </c>
      <c r="C30" s="97"/>
      <c r="D30" s="98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5" t="s">
        <v>57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88" t="s">
        <v>58</v>
      </c>
      <c r="C32" s="89"/>
      <c r="D32" s="90"/>
      <c r="E32" s="27">
        <v>371590231.89999998</v>
      </c>
      <c r="F32" s="23" t="s">
        <v>4</v>
      </c>
      <c r="G32" s="20"/>
      <c r="H32" s="42"/>
      <c r="I32" s="2"/>
    </row>
    <row r="33" spans="1:9" x14ac:dyDescent="0.25">
      <c r="A33" s="2"/>
      <c r="B33" s="95" t="s">
        <v>34</v>
      </c>
      <c r="C33" s="83"/>
      <c r="D33" s="84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8" t="s">
        <v>35</v>
      </c>
      <c r="C34" s="89"/>
      <c r="D34" s="90"/>
      <c r="E34" s="27">
        <v>19052278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390642509.89999998</v>
      </c>
      <c r="F35" s="38" t="s">
        <v>4</v>
      </c>
      <c r="G35" s="18">
        <f>-E35</f>
        <v>-390642509.89999998</v>
      </c>
      <c r="H35" s="38" t="s">
        <v>4</v>
      </c>
      <c r="I35" s="2"/>
    </row>
    <row r="36" spans="1:9" x14ac:dyDescent="0.25">
      <c r="A36" s="2"/>
      <c r="B36" s="91" t="s">
        <v>97</v>
      </c>
      <c r="C36" s="92"/>
      <c r="D36" s="92"/>
      <c r="E36" s="92"/>
      <c r="F36" s="93"/>
      <c r="G36" s="21">
        <f>$G$9+$G$28+$G$30+$G$35</f>
        <v>-11278181.746523857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>
      <selection activeCell="B17" sqref="B17:G23"/>
    </sheetView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126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166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116</v>
      </c>
      <c r="C9" s="87"/>
      <c r="D9" s="114" t="s">
        <v>47</v>
      </c>
      <c r="E9" s="114"/>
      <c r="F9" s="114" t="s">
        <v>127</v>
      </c>
      <c r="G9" s="114"/>
      <c r="H9" s="2"/>
    </row>
    <row r="10" spans="1:8" x14ac:dyDescent="0.25">
      <c r="A10" s="2"/>
      <c r="B10" s="116" t="s">
        <v>167</v>
      </c>
      <c r="C10" s="117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133</v>
      </c>
      <c r="C11" s="92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1" t="s">
        <v>145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162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179</v>
      </c>
      <c r="C16" s="86"/>
      <c r="D16" s="86"/>
      <c r="E16" s="87"/>
      <c r="F16" s="114" t="s">
        <v>163</v>
      </c>
      <c r="G16" s="114"/>
      <c r="H16" s="2"/>
    </row>
    <row r="17" spans="1:8" x14ac:dyDescent="0.25">
      <c r="A17" s="2"/>
      <c r="B17" s="95" t="s">
        <v>175</v>
      </c>
      <c r="C17" s="83"/>
      <c r="D17" s="83"/>
      <c r="E17" s="84"/>
      <c r="F17" s="27">
        <v>0</v>
      </c>
      <c r="G17" s="23" t="s">
        <v>4</v>
      </c>
      <c r="H17" s="2"/>
    </row>
    <row r="18" spans="1:8" x14ac:dyDescent="0.25">
      <c r="A18" s="2"/>
      <c r="B18" s="91" t="s">
        <v>164</v>
      </c>
      <c r="C18" s="92"/>
      <c r="D18" s="92"/>
      <c r="E18" s="93"/>
      <c r="F18" s="21">
        <f>SUM(F17:F17)</f>
        <v>0</v>
      </c>
      <c r="G18" s="22" t="s">
        <v>4</v>
      </c>
      <c r="H18" s="2"/>
    </row>
    <row r="19" spans="1:8" x14ac:dyDescent="0.25">
      <c r="A19" s="2"/>
      <c r="B19" s="91" t="s">
        <v>165</v>
      </c>
      <c r="C19" s="92"/>
      <c r="D19" s="92"/>
      <c r="E19" s="93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117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45" t="s">
        <v>119</v>
      </c>
      <c r="C9" s="46"/>
      <c r="D9" s="114" t="s">
        <v>47</v>
      </c>
      <c r="E9" s="114"/>
      <c r="F9" s="114" t="s">
        <v>127</v>
      </c>
      <c r="G9" s="114"/>
      <c r="H9" s="2"/>
    </row>
    <row r="10" spans="1:8" x14ac:dyDescent="0.25">
      <c r="A10" s="2"/>
      <c r="B10" s="35" t="s">
        <v>174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128</v>
      </c>
      <c r="C11" s="93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1" t="s">
        <v>144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topLeftCell="A7" zoomScaleNormal="100" workbookViewId="0">
      <selection activeCell="E24" sqref="E24"/>
    </sheetView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109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ht="15" customHeight="1" x14ac:dyDescent="0.25">
      <c r="A9" s="2"/>
      <c r="B9" s="88" t="s">
        <v>60</v>
      </c>
      <c r="C9" s="89"/>
      <c r="D9" s="90"/>
      <c r="E9" s="8">
        <f>'Fane 3. Korrigeret grundlag'!G12</f>
        <v>381871203.50540757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83"/>
      <c r="D10" s="84"/>
      <c r="E10" s="12">
        <f>'Fane 3. Korrigeret grundlag'!G11</f>
        <v>9241245.372381879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121</v>
      </c>
      <c r="C11" s="83"/>
      <c r="D11" s="84"/>
      <c r="E11" s="12">
        <f>'Fane 4. Ikke-påvirkelige omk.'!G20</f>
        <v>-1436907.9896270002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177</v>
      </c>
      <c r="C12" s="49"/>
      <c r="D12" s="50"/>
      <c r="E12" s="12">
        <f>'Fane 5. Individuelt eff.krav'!G10</f>
        <v>-6999636.3806280885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129</v>
      </c>
      <c r="C13" s="89"/>
      <c r="D13" s="90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8" t="s">
        <v>130</v>
      </c>
      <c r="C14" s="89"/>
      <c r="D14" s="90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8" t="s">
        <v>162</v>
      </c>
      <c r="C15" s="89"/>
      <c r="D15" s="90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8" t="s">
        <v>131</v>
      </c>
      <c r="C16" s="89"/>
      <c r="D16" s="90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8" t="s">
        <v>132</v>
      </c>
      <c r="C17" s="89"/>
      <c r="D17" s="90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2" t="s">
        <v>123</v>
      </c>
      <c r="C19" s="83"/>
      <c r="D19" s="84"/>
      <c r="E19" s="12">
        <f>SUM(E9,E11:E17)*(E18/100)</f>
        <v>6535106.5348651689</v>
      </c>
      <c r="F19" s="9" t="s">
        <v>4</v>
      </c>
      <c r="G19" s="13"/>
      <c r="H19" s="14"/>
      <c r="I19" s="2"/>
    </row>
    <row r="20" spans="1:9" x14ac:dyDescent="0.25">
      <c r="A20" s="2"/>
      <c r="B20" s="95" t="s">
        <v>15</v>
      </c>
      <c r="C20" s="83"/>
      <c r="D20" s="84"/>
      <c r="E20" s="12">
        <f>'Fane 5. Individuelt eff.krav'!G12</f>
        <v>2497194.8458487876</v>
      </c>
      <c r="F20" s="9" t="s">
        <v>4</v>
      </c>
      <c r="G20" s="15"/>
      <c r="H20" s="14"/>
      <c r="I20" s="2"/>
    </row>
    <row r="21" spans="1:9" x14ac:dyDescent="0.25">
      <c r="A21" s="2"/>
      <c r="B21" s="95" t="s">
        <v>16</v>
      </c>
      <c r="C21" s="83"/>
      <c r="D21" s="84"/>
      <c r="E21" s="12">
        <f>'Fane 6. Generelt eff.krav'!G17</f>
        <v>6906026.02561404</v>
      </c>
      <c r="F21" s="9" t="s">
        <v>4</v>
      </c>
      <c r="G21" s="16"/>
      <c r="H21" s="17"/>
      <c r="I21" s="2"/>
    </row>
    <row r="22" spans="1:9" x14ac:dyDescent="0.25">
      <c r="A22" s="2"/>
      <c r="B22" s="96" t="s">
        <v>168</v>
      </c>
      <c r="C22" s="97"/>
      <c r="D22" s="98"/>
      <c r="E22" s="18">
        <f>SUM(E9,E11:E17,E19)-SUM(E20:E21)</f>
        <v>370566544.79855478</v>
      </c>
      <c r="F22" s="19" t="s">
        <v>4</v>
      </c>
      <c r="G22" s="18">
        <f>E22</f>
        <v>370566544.79855478</v>
      </c>
      <c r="H22" s="19" t="s">
        <v>4</v>
      </c>
      <c r="I22" s="2"/>
    </row>
    <row r="23" spans="1:9" x14ac:dyDescent="0.25">
      <c r="A23" s="2"/>
      <c r="B23" s="91" t="s">
        <v>17</v>
      </c>
      <c r="C23" s="92"/>
      <c r="D23" s="92"/>
      <c r="E23" s="92"/>
      <c r="F23" s="92"/>
      <c r="G23" s="92"/>
      <c r="H23" s="93"/>
      <c r="I23" s="2"/>
    </row>
    <row r="24" spans="1:9" x14ac:dyDescent="0.25">
      <c r="A24" s="2"/>
      <c r="B24" s="85" t="s">
        <v>55</v>
      </c>
      <c r="C24" s="86"/>
      <c r="D24" s="87"/>
      <c r="E24" s="18">
        <f>'Fane 7. Hist. over el. underdæk'!G15</f>
        <v>3927226</v>
      </c>
      <c r="F24" s="19" t="s">
        <v>4</v>
      </c>
      <c r="G24" s="18">
        <f>E24</f>
        <v>3927226</v>
      </c>
      <c r="H24" s="19" t="s">
        <v>4</v>
      </c>
      <c r="I24" s="2"/>
    </row>
    <row r="25" spans="1:9" x14ac:dyDescent="0.25">
      <c r="A25" s="2"/>
      <c r="B25" s="91" t="s">
        <v>98</v>
      </c>
      <c r="C25" s="92"/>
      <c r="D25" s="92"/>
      <c r="E25" s="92"/>
      <c r="F25" s="92"/>
      <c r="G25" s="92"/>
      <c r="H25" s="93"/>
      <c r="I25" s="2"/>
    </row>
    <row r="26" spans="1:9" x14ac:dyDescent="0.25">
      <c r="A26" s="2"/>
      <c r="B26" s="88" t="s">
        <v>105</v>
      </c>
      <c r="C26" s="89"/>
      <c r="D26" s="90"/>
      <c r="E26" s="12">
        <f>'Fane 9. Korrektion af PL2016'!G12</f>
        <v>558659</v>
      </c>
      <c r="F26" s="9" t="s">
        <v>4</v>
      </c>
      <c r="G26" s="20"/>
      <c r="H26" s="11"/>
      <c r="I26" s="2"/>
    </row>
    <row r="27" spans="1:9" x14ac:dyDescent="0.25">
      <c r="A27" s="2"/>
      <c r="B27" s="88" t="s">
        <v>99</v>
      </c>
      <c r="C27" s="89"/>
      <c r="D27" s="90"/>
      <c r="E27" s="12">
        <f>'Fane 9. Korrektion af PL2016'!G18</f>
        <v>-5760343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8" t="s">
        <v>100</v>
      </c>
      <c r="C28" s="89"/>
      <c r="D28" s="90"/>
      <c r="E28" s="12">
        <f>'Fane 9. Korrektion af PL2016'!G24</f>
        <v>94637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8" t="s">
        <v>101</v>
      </c>
      <c r="C29" s="89"/>
      <c r="D29" s="90"/>
      <c r="E29" s="12">
        <f>'Fane 9. Korrektion af PL2016'!G30</f>
        <v>-354000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8" t="s">
        <v>102</v>
      </c>
      <c r="C30" s="89"/>
      <c r="D30" s="90"/>
      <c r="E30" s="12">
        <f>'Fane 9. Korrektion af PL2016'!G36</f>
        <v>1124030.6717333337</v>
      </c>
      <c r="F30" s="9" t="s">
        <v>4</v>
      </c>
      <c r="G30" s="15"/>
      <c r="H30" s="14"/>
      <c r="I30" s="2"/>
    </row>
    <row r="31" spans="1:9" x14ac:dyDescent="0.25">
      <c r="A31" s="2"/>
      <c r="B31" s="85" t="s">
        <v>103</v>
      </c>
      <c r="C31" s="86"/>
      <c r="D31" s="87"/>
      <c r="E31" s="18">
        <f>SUM(E26:E30)</f>
        <v>-4337016.3282666663</v>
      </c>
      <c r="F31" s="19" t="s">
        <v>4</v>
      </c>
      <c r="G31" s="18">
        <f>E31</f>
        <v>-4337016.3282666663</v>
      </c>
      <c r="H31" s="19" t="s">
        <v>4</v>
      </c>
      <c r="I31" s="2"/>
    </row>
    <row r="32" spans="1:9" x14ac:dyDescent="0.25">
      <c r="A32" s="2"/>
      <c r="B32" s="91" t="s">
        <v>18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85" t="s">
        <v>104</v>
      </c>
      <c r="C33" s="86"/>
      <c r="D33" s="87"/>
      <c r="E33" s="18">
        <f>'Fane 10. Kontrol af PL2016'!G36</f>
        <v>-11278181.746523857</v>
      </c>
      <c r="F33" s="19" t="s">
        <v>4</v>
      </c>
      <c r="G33" s="18">
        <f>E33</f>
        <v>-11278181.746523857</v>
      </c>
      <c r="H33" s="19" t="s">
        <v>4</v>
      </c>
      <c r="I33" s="2"/>
    </row>
    <row r="34" spans="1:9" x14ac:dyDescent="0.25">
      <c r="A34" s="2"/>
      <c r="B34" s="91" t="s">
        <v>62</v>
      </c>
      <c r="C34" s="92"/>
      <c r="D34" s="92"/>
      <c r="E34" s="92"/>
      <c r="F34" s="93"/>
      <c r="G34" s="21">
        <f>G22+G24+G31+G33</f>
        <v>358878572.72376424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>
      <selection activeCell="E18" sqref="E18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108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8" t="s">
        <v>106</v>
      </c>
      <c r="C9" s="89"/>
      <c r="D9" s="90"/>
      <c r="E9" s="8">
        <f>'Fane 2.1. Økonomisk ramme 2018'!G22</f>
        <v>370566544.79855478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99"/>
      <c r="D10" s="100"/>
      <c r="E10" s="12">
        <f>(SUM('Fane 2.1. Økonomisk ramme 2018'!E10:E11,'Fane 2.1. Økonomisk ramme 2018'!E15))*(1+'Fane 2.1. Økonomisk ramme 2018'!E18/100)</f>
        <v>7940913.2869530898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61</v>
      </c>
      <c r="C11" s="83"/>
      <c r="D11" s="84"/>
      <c r="E11" s="12">
        <f>$E$9*'Fane 2.1. Økonomisk ramme 2018'!E18/100</f>
        <v>6484914.5339747081</v>
      </c>
      <c r="F11" s="9" t="s">
        <v>4</v>
      </c>
      <c r="G11" s="15"/>
      <c r="H11" s="14"/>
      <c r="I11" s="2"/>
    </row>
    <row r="12" spans="1:9" x14ac:dyDescent="0.25">
      <c r="A12" s="2"/>
      <c r="B12" s="95" t="s">
        <v>15</v>
      </c>
      <c r="C12" s="83"/>
      <c r="D12" s="84"/>
      <c r="E12" s="12">
        <f>($E$9-$E$10)*(1+'Fane 2.1. Økonomisk ramme 2018'!E18/100)*'Fane 5. Individuelt eff.krav'!$G$11/100</f>
        <v>2476673.3066429417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6896809.919583193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168</v>
      </c>
      <c r="C14" s="97"/>
      <c r="D14" s="98"/>
      <c r="E14" s="18">
        <f>$E$9+$E$11-$E$12-$E$13</f>
        <v>367677976.10630333</v>
      </c>
      <c r="F14" s="19" t="s">
        <v>4</v>
      </c>
      <c r="G14" s="18">
        <f>E14</f>
        <v>367677976.10630333</v>
      </c>
      <c r="H14" s="19" t="s">
        <v>4</v>
      </c>
      <c r="I14" s="2"/>
    </row>
    <row r="15" spans="1:9" x14ac:dyDescent="0.25">
      <c r="A15" s="2"/>
      <c r="B15" s="91" t="s">
        <v>17</v>
      </c>
      <c r="C15" s="92"/>
      <c r="D15" s="92"/>
      <c r="E15" s="92"/>
      <c r="F15" s="92"/>
      <c r="G15" s="92"/>
      <c r="H15" s="93"/>
      <c r="I15" s="2"/>
    </row>
    <row r="16" spans="1:9" ht="15" customHeight="1" x14ac:dyDescent="0.25">
      <c r="A16" s="2"/>
      <c r="B16" s="85" t="s">
        <v>55</v>
      </c>
      <c r="C16" s="86"/>
      <c r="D16" s="87"/>
      <c r="E16" s="18">
        <f>IF('Fane 7. Hist. over el. underdæk'!$G$14&gt;1,'Fane 7. Hist. over el. underdæk'!$G$15,0)</f>
        <v>3927226</v>
      </c>
      <c r="F16" s="19" t="s">
        <v>4</v>
      </c>
      <c r="G16" s="18">
        <f>E16</f>
        <v>3927226</v>
      </c>
      <c r="H16" s="19" t="s">
        <v>4</v>
      </c>
      <c r="I16" s="2"/>
    </row>
    <row r="17" spans="1:9" x14ac:dyDescent="0.25">
      <c r="A17" s="2"/>
      <c r="B17" s="91" t="s">
        <v>107</v>
      </c>
      <c r="C17" s="92"/>
      <c r="D17" s="92"/>
      <c r="E17" s="92"/>
      <c r="F17" s="93"/>
      <c r="G17" s="21">
        <f>G14+G16</f>
        <v>371605202.10630333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141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110</v>
      </c>
      <c r="C9" s="83"/>
      <c r="D9" s="83"/>
      <c r="E9" s="83"/>
      <c r="F9" s="84"/>
      <c r="G9" s="27">
        <v>122039067.92496116</v>
      </c>
      <c r="H9" s="23" t="s">
        <v>4</v>
      </c>
      <c r="I9" s="2"/>
    </row>
    <row r="10" spans="1:9" x14ac:dyDescent="0.25">
      <c r="A10" s="2"/>
      <c r="B10" s="95" t="s">
        <v>111</v>
      </c>
      <c r="C10" s="83"/>
      <c r="D10" s="83"/>
      <c r="E10" s="83"/>
      <c r="F10" s="84"/>
      <c r="G10" s="27">
        <v>250590890.20806453</v>
      </c>
      <c r="H10" s="23" t="s">
        <v>4</v>
      </c>
      <c r="I10" s="2"/>
    </row>
    <row r="11" spans="1:9" x14ac:dyDescent="0.25">
      <c r="A11" s="2"/>
      <c r="B11" s="95" t="s">
        <v>138</v>
      </c>
      <c r="C11" s="83"/>
      <c r="D11" s="83"/>
      <c r="E11" s="83"/>
      <c r="F11" s="84"/>
      <c r="G11" s="27">
        <v>9241245.372381879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381871203.50540757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topLeftCell="A4" zoomScaleNormal="100" workbookViewId="0">
      <selection activeCell="D6" sqref="D6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112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113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115</v>
      </c>
      <c r="C9" s="86"/>
      <c r="D9" s="87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154</v>
      </c>
      <c r="C10" s="106"/>
      <c r="D10" s="106"/>
      <c r="E10" s="56">
        <v>659377.80660000001</v>
      </c>
      <c r="F10" s="23" t="s">
        <v>4</v>
      </c>
      <c r="G10" s="27">
        <v>665738</v>
      </c>
      <c r="H10" s="23" t="s">
        <v>4</v>
      </c>
      <c r="I10" s="2"/>
    </row>
    <row r="11" spans="1:9" x14ac:dyDescent="0.25">
      <c r="A11" s="2"/>
      <c r="B11" s="105" t="s">
        <v>155</v>
      </c>
      <c r="C11" s="106"/>
      <c r="D11" s="106"/>
      <c r="E11" s="56">
        <v>1181274.0360000001</v>
      </c>
      <c r="F11" s="23" t="s">
        <v>4</v>
      </c>
      <c r="G11" s="27">
        <v>979117</v>
      </c>
      <c r="H11" s="23" t="s">
        <v>4</v>
      </c>
      <c r="I11" s="2"/>
    </row>
    <row r="12" spans="1:9" x14ac:dyDescent="0.25">
      <c r="A12" s="2"/>
      <c r="B12" s="105" t="s">
        <v>156</v>
      </c>
      <c r="C12" s="106"/>
      <c r="D12" s="106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157</v>
      </c>
      <c r="C13" s="106"/>
      <c r="D13" s="106"/>
      <c r="E13" s="56">
        <v>16200.204399999999</v>
      </c>
      <c r="F13" s="23" t="s">
        <v>4</v>
      </c>
      <c r="G13" s="27">
        <v>155915</v>
      </c>
      <c r="H13" s="23" t="s">
        <v>4</v>
      </c>
      <c r="I13" s="2"/>
    </row>
    <row r="14" spans="1:9" x14ac:dyDescent="0.25">
      <c r="A14" s="2"/>
      <c r="B14" s="105" t="s">
        <v>158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159</v>
      </c>
      <c r="C15" s="106"/>
      <c r="D15" s="106"/>
      <c r="E15" s="56">
        <v>6915846.5373999998</v>
      </c>
      <c r="F15" s="23" t="s">
        <v>4</v>
      </c>
      <c r="G15" s="27">
        <v>5912389</v>
      </c>
      <c r="H15" s="23" t="s">
        <v>4</v>
      </c>
      <c r="I15" s="2"/>
    </row>
    <row r="16" spans="1:9" x14ac:dyDescent="0.25">
      <c r="A16" s="2"/>
      <c r="B16" s="105" t="s">
        <v>160</v>
      </c>
      <c r="C16" s="106"/>
      <c r="D16" s="106"/>
      <c r="E16" s="56">
        <v>0</v>
      </c>
      <c r="F16" s="23" t="s">
        <v>4</v>
      </c>
      <c r="G16" s="27">
        <v>0</v>
      </c>
      <c r="H16" s="23" t="s">
        <v>4</v>
      </c>
      <c r="I16" s="2"/>
    </row>
    <row r="17" spans="1:9" x14ac:dyDescent="0.25">
      <c r="A17" s="2"/>
      <c r="B17" s="105" t="s">
        <v>161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ht="30" customHeight="1" x14ac:dyDescent="0.25">
      <c r="A18" s="2"/>
      <c r="B18" s="107" t="s">
        <v>180</v>
      </c>
      <c r="C18" s="107"/>
      <c r="D18" s="107"/>
      <c r="E18" s="56">
        <v>352655</v>
      </c>
      <c r="F18" s="23" t="s">
        <v>4</v>
      </c>
      <c r="G18" s="27">
        <v>0</v>
      </c>
      <c r="H18" s="23" t="s">
        <v>4</v>
      </c>
      <c r="I18" s="2"/>
    </row>
    <row r="19" spans="1:9" x14ac:dyDescent="0.25">
      <c r="A19" s="2"/>
      <c r="B19" s="91" t="s">
        <v>134</v>
      </c>
      <c r="C19" s="92"/>
      <c r="D19" s="92"/>
      <c r="E19" s="92"/>
      <c r="F19" s="93"/>
      <c r="G19" s="21">
        <f>SUM(G10:G18)-SUM(E10:E18)</f>
        <v>-1412194.5844000001</v>
      </c>
      <c r="H19" s="22" t="s">
        <v>4</v>
      </c>
      <c r="I19" s="2"/>
    </row>
    <row r="20" spans="1:9" x14ac:dyDescent="0.25">
      <c r="A20" s="2"/>
      <c r="B20" s="91" t="s">
        <v>135</v>
      </c>
      <c r="C20" s="92"/>
      <c r="D20" s="92"/>
      <c r="E20" s="92"/>
      <c r="F20" s="93"/>
      <c r="G20" s="21">
        <f>G19*(1+'Fane 2.1. Økonomisk ramme 2018'!E18/100)</f>
        <v>-1436907.9896270002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>
      <selection activeCell="G11" sqref="G11"/>
    </sheetView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51</v>
      </c>
      <c r="C9" s="83"/>
      <c r="D9" s="83"/>
      <c r="E9" s="83"/>
      <c r="F9" s="84"/>
      <c r="G9" s="12">
        <f>'Fane 3. Korrigeret grundlag'!G12-'Fane 3. Korrigeret grundlag'!G11+SUM('Fane 2.1. Økonomisk ramme 2018'!E13:E14,'Fane 2.1. Økonomisk ramme 2018'!E16:E17)</f>
        <v>372629958.13302571</v>
      </c>
      <c r="H9" s="23" t="s">
        <v>4</v>
      </c>
      <c r="I9" s="2"/>
    </row>
    <row r="10" spans="1:9" x14ac:dyDescent="0.25">
      <c r="A10" s="2"/>
      <c r="B10" s="51" t="s">
        <v>177</v>
      </c>
      <c r="C10" s="49"/>
      <c r="D10" s="49"/>
      <c r="E10" s="49"/>
      <c r="F10" s="50"/>
      <c r="G10" s="12">
        <v>-6999636.3806280885</v>
      </c>
      <c r="H10" s="23" t="s">
        <v>4</v>
      </c>
      <c r="I10" s="2"/>
    </row>
    <row r="11" spans="1:9" x14ac:dyDescent="0.25">
      <c r="A11" s="2"/>
      <c r="B11" s="95" t="s">
        <v>37</v>
      </c>
      <c r="C11" s="83"/>
      <c r="D11" s="83"/>
      <c r="E11" s="83"/>
      <c r="F11" s="84"/>
      <c r="G11" s="29">
        <v>0.67123687581024405</v>
      </c>
      <c r="H11" s="23" t="s">
        <v>38</v>
      </c>
      <c r="I11" s="2"/>
    </row>
    <row r="12" spans="1:9" x14ac:dyDescent="0.25">
      <c r="A12" s="2"/>
      <c r="B12" s="91" t="s">
        <v>15</v>
      </c>
      <c r="C12" s="92"/>
      <c r="D12" s="92"/>
      <c r="E12" s="92"/>
      <c r="F12" s="93"/>
      <c r="G12" s="21">
        <f>($G$9+G10)*(1+'Fane 2.1. Økonomisk ramme 2018'!E18/100)*($G$11/100)</f>
        <v>2497194.8458487876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8" t="s">
        <v>47</v>
      </c>
      <c r="C9" s="109"/>
      <c r="D9" s="109"/>
      <c r="E9" s="109"/>
      <c r="F9" s="110"/>
      <c r="G9" s="12">
        <f>'Fane 3. Korrigeret grundlag'!G9+(SUM('Fane 2.1. Økonomisk ramme 2018'!E13,'Fane 2.1. Økonomisk ramme 2018'!E16))</f>
        <v>122039067.92496116</v>
      </c>
      <c r="H9" s="23" t="s">
        <v>4</v>
      </c>
      <c r="I9" s="2"/>
    </row>
    <row r="10" spans="1:9" x14ac:dyDescent="0.25">
      <c r="A10" s="2"/>
      <c r="B10" s="52" t="s">
        <v>176</v>
      </c>
      <c r="C10" s="53"/>
      <c r="D10" s="53"/>
      <c r="E10" s="53"/>
      <c r="F10" s="54"/>
      <c r="G10" s="12">
        <v>-2440781.3584992234</v>
      </c>
      <c r="H10" s="23" t="s">
        <v>4</v>
      </c>
      <c r="I10" s="2"/>
    </row>
    <row r="11" spans="1:9" x14ac:dyDescent="0.25">
      <c r="A11" s="2"/>
      <c r="B11" s="95" t="s">
        <v>16</v>
      </c>
      <c r="C11" s="83"/>
      <c r="D11" s="83"/>
      <c r="E11" s="83"/>
      <c r="F11" s="84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2018'!E18/100)*$G$11/100</f>
        <v>2433825.1316275005</v>
      </c>
      <c r="H12" s="38" t="s">
        <v>4</v>
      </c>
      <c r="I12" s="2"/>
    </row>
    <row r="13" spans="1:9" x14ac:dyDescent="0.25">
      <c r="A13" s="2"/>
      <c r="B13" s="95" t="s">
        <v>48</v>
      </c>
      <c r="C13" s="83"/>
      <c r="D13" s="83"/>
      <c r="E13" s="83"/>
      <c r="F13" s="84"/>
      <c r="G13" s="12">
        <f xml:space="preserve"> 'Fane 3. Korrigeret grundlag'!G10+SUM('Fane 2.1. Økonomisk ramme 2018'!E14,'Fane 2.1. Økonomisk ramme 2018'!E17)</f>
        <v>250590890.20806453</v>
      </c>
      <c r="H13" s="23" t="s">
        <v>4</v>
      </c>
      <c r="I13" s="2"/>
    </row>
    <row r="14" spans="1:9" x14ac:dyDescent="0.25">
      <c r="A14" s="2"/>
      <c r="B14" s="51" t="s">
        <v>178</v>
      </c>
      <c r="C14" s="49"/>
      <c r="D14" s="49"/>
      <c r="E14" s="49"/>
      <c r="F14" s="50"/>
      <c r="G14" s="12">
        <v>-2269792.2479851451</v>
      </c>
      <c r="H14" s="23" t="s">
        <v>4</v>
      </c>
      <c r="I14" s="2"/>
    </row>
    <row r="15" spans="1:9" x14ac:dyDescent="0.25">
      <c r="A15" s="2"/>
      <c r="B15" s="95" t="s">
        <v>16</v>
      </c>
      <c r="C15" s="83"/>
      <c r="D15" s="83"/>
      <c r="E15" s="83"/>
      <c r="F15" s="84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2018'!E18/100)*$G$15/100</f>
        <v>4472200.8939865399</v>
      </c>
      <c r="H16" s="38" t="s">
        <v>4</v>
      </c>
      <c r="I16" s="2"/>
    </row>
    <row r="17" spans="1:9" x14ac:dyDescent="0.25">
      <c r="A17" s="2"/>
      <c r="B17" s="91" t="s">
        <v>52</v>
      </c>
      <c r="C17" s="92"/>
      <c r="D17" s="92"/>
      <c r="E17" s="92"/>
      <c r="F17" s="93"/>
      <c r="G17" s="21">
        <f>G12+G16</f>
        <v>6906026.02561404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9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42</v>
      </c>
      <c r="C9" s="83"/>
      <c r="D9" s="83"/>
      <c r="E9" s="83"/>
      <c r="F9" s="84"/>
      <c r="G9" s="27">
        <v>6881954</v>
      </c>
      <c r="H9" s="23" t="s">
        <v>4</v>
      </c>
      <c r="I9" s="2"/>
    </row>
    <row r="10" spans="1:9" x14ac:dyDescent="0.25">
      <c r="A10" s="2"/>
      <c r="B10" s="95" t="s">
        <v>120</v>
      </c>
      <c r="C10" s="83"/>
      <c r="D10" s="83"/>
      <c r="E10" s="83"/>
      <c r="F10" s="84"/>
      <c r="G10" s="27">
        <v>6881954</v>
      </c>
      <c r="H10" s="23" t="s">
        <v>4</v>
      </c>
      <c r="I10" s="2"/>
    </row>
    <row r="11" spans="1:9" x14ac:dyDescent="0.25">
      <c r="A11" s="2"/>
      <c r="B11" s="111" t="s">
        <v>45</v>
      </c>
      <c r="C11" s="112"/>
      <c r="D11" s="112"/>
      <c r="E11" s="112"/>
      <c r="F11" s="113"/>
      <c r="G11" s="57">
        <f>G9-G10</f>
        <v>0</v>
      </c>
      <c r="H11" s="39" t="s">
        <v>4</v>
      </c>
      <c r="I11" s="2"/>
    </row>
    <row r="12" spans="1:9" x14ac:dyDescent="0.25">
      <c r="A12" s="2"/>
      <c r="B12" s="95" t="s">
        <v>43</v>
      </c>
      <c r="C12" s="83"/>
      <c r="D12" s="83"/>
      <c r="E12" s="83"/>
      <c r="F12" s="84"/>
      <c r="G12" s="27">
        <v>0</v>
      </c>
      <c r="H12" s="23" t="s">
        <v>125</v>
      </c>
      <c r="I12" s="2"/>
    </row>
    <row r="13" spans="1:9" x14ac:dyDescent="0.25">
      <c r="A13" s="2"/>
      <c r="B13" s="96" t="s">
        <v>181</v>
      </c>
      <c r="C13" s="97"/>
      <c r="D13" s="97"/>
      <c r="E13" s="97"/>
      <c r="F13" s="98"/>
      <c r="G13" s="18">
        <v>3927226</v>
      </c>
      <c r="H13" s="38" t="s">
        <v>4</v>
      </c>
      <c r="I13" s="2"/>
    </row>
    <row r="14" spans="1:9" x14ac:dyDescent="0.25">
      <c r="A14" s="2"/>
      <c r="B14" s="95" t="s">
        <v>182</v>
      </c>
      <c r="C14" s="83"/>
      <c r="D14" s="83"/>
      <c r="E14" s="83"/>
      <c r="F14" s="84"/>
      <c r="G14" s="27">
        <v>3</v>
      </c>
      <c r="H14" s="23" t="s">
        <v>125</v>
      </c>
      <c r="I14" s="2"/>
    </row>
    <row r="15" spans="1:9" x14ac:dyDescent="0.25">
      <c r="A15" s="2"/>
      <c r="B15" s="91" t="s">
        <v>41</v>
      </c>
      <c r="C15" s="92"/>
      <c r="D15" s="92"/>
      <c r="E15" s="92"/>
      <c r="F15" s="93"/>
      <c r="G15" s="21">
        <f>G13</f>
        <v>3927226</v>
      </c>
      <c r="H15" s="22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9">
    <mergeCell ref="B3:H4"/>
    <mergeCell ref="B8:H8"/>
    <mergeCell ref="B15:F15"/>
    <mergeCell ref="B12:F12"/>
    <mergeCell ref="B11:F11"/>
    <mergeCell ref="B10:F10"/>
    <mergeCell ref="B9:F9"/>
    <mergeCell ref="B13:F13"/>
    <mergeCell ref="B14:F1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2"/>
  <sheetViews>
    <sheetView showGridLines="0" view="pageLayout" zoomScaleNormal="100" workbookViewId="0">
      <selection activeCell="E10" sqref="E10"/>
    </sheetView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74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75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4" t="s">
        <v>3</v>
      </c>
      <c r="G9" s="114"/>
      <c r="H9" s="2"/>
    </row>
    <row r="10" spans="1:8" x14ac:dyDescent="0.25">
      <c r="A10" s="2"/>
      <c r="B10" s="47" t="s">
        <v>146</v>
      </c>
      <c r="C10" s="41">
        <v>2016</v>
      </c>
      <c r="D10" s="28">
        <v>5</v>
      </c>
      <c r="E10" s="27">
        <v>4039874.29</v>
      </c>
      <c r="F10" s="12">
        <f t="shared" ref="F10:F17" si="0">E10/D10</f>
        <v>807974.85800000001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10</v>
      </c>
      <c r="E11" s="27">
        <v>12905099.65</v>
      </c>
      <c r="F11" s="12">
        <f t="shared" si="0"/>
        <v>1290509.9650000001</v>
      </c>
      <c r="G11" s="23" t="s">
        <v>4</v>
      </c>
      <c r="H11" s="2"/>
    </row>
    <row r="12" spans="1:8" ht="26.25" x14ac:dyDescent="0.25">
      <c r="A12" s="2"/>
      <c r="B12" s="47" t="s">
        <v>148</v>
      </c>
      <c r="C12" s="41">
        <v>2016</v>
      </c>
      <c r="D12" s="28">
        <v>10</v>
      </c>
      <c r="E12" s="27">
        <v>7728985.6200000001</v>
      </c>
      <c r="F12" s="12">
        <f t="shared" si="0"/>
        <v>772898.56200000003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20</v>
      </c>
      <c r="E13" s="27">
        <v>21610930.300000001</v>
      </c>
      <c r="F13" s="12">
        <f t="shared" si="0"/>
        <v>1080546.5150000001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20</v>
      </c>
      <c r="E14" s="27">
        <v>2226948.46</v>
      </c>
      <c r="F14" s="12">
        <f t="shared" si="0"/>
        <v>111347.423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50</v>
      </c>
      <c r="E15" s="27">
        <v>30762121.949999999</v>
      </c>
      <c r="F15" s="12">
        <f t="shared" si="0"/>
        <v>615242.43900000001</v>
      </c>
      <c r="G15" s="23" t="s">
        <v>4</v>
      </c>
      <c r="H15" s="2"/>
    </row>
    <row r="16" spans="1:8" ht="26.25" x14ac:dyDescent="0.25">
      <c r="A16" s="2"/>
      <c r="B16" s="47" t="s">
        <v>152</v>
      </c>
      <c r="C16" s="41">
        <v>2016</v>
      </c>
      <c r="D16" s="28">
        <v>50</v>
      </c>
      <c r="E16" s="27">
        <v>8137804.6200000001</v>
      </c>
      <c r="F16" s="12">
        <f t="shared" si="0"/>
        <v>162756.09239999999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75</v>
      </c>
      <c r="E17" s="27">
        <v>205804611.30000001</v>
      </c>
      <c r="F17" s="12">
        <f t="shared" si="0"/>
        <v>2744061.4840000002</v>
      </c>
      <c r="G17" s="23" t="s">
        <v>4</v>
      </c>
      <c r="H17" s="2"/>
    </row>
    <row r="18" spans="1:8" x14ac:dyDescent="0.25">
      <c r="A18" s="2"/>
      <c r="B18" s="91" t="s">
        <v>76</v>
      </c>
      <c r="C18" s="92"/>
      <c r="D18" s="92"/>
      <c r="E18" s="93"/>
      <c r="F18" s="21">
        <f>SUM(F10:F17)</f>
        <v>7585337.3384000007</v>
      </c>
      <c r="G18" s="22" t="s">
        <v>4</v>
      </c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</sheetData>
  <sheetProtection password="DFE9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2017-10-31T13:27:16Z</dcterms:modified>
</cp:coreProperties>
</file>