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890" yWindow="360" windowWidth="11700" windowHeight="116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2" i="12" l="1"/>
  <c r="G13" i="9" l="1"/>
  <c r="E18" i="4" l="1"/>
  <c r="G15" i="10"/>
  <c r="G10" i="9" l="1"/>
  <c r="G30" i="13"/>
  <c r="G36" i="13"/>
  <c r="F19" i="11" l="1"/>
  <c r="F18" i="11"/>
  <c r="F17" i="11"/>
  <c r="F16" i="11"/>
  <c r="F15" i="11"/>
  <c r="E10" i="2" l="1"/>
  <c r="E12" i="4" s="1"/>
  <c r="E35" i="13" l="1"/>
  <c r="G35" i="13" s="1"/>
  <c r="E27" i="13"/>
  <c r="E19" i="13"/>
  <c r="E15" i="13"/>
  <c r="G24" i="12"/>
  <c r="E19" i="2" s="1"/>
  <c r="G18" i="12"/>
  <c r="E18" i="2" s="1"/>
  <c r="F11" i="11"/>
  <c r="F12" i="11"/>
  <c r="F13" i="11"/>
  <c r="F14" i="11"/>
  <c r="F20" i="11"/>
  <c r="F10" i="11"/>
  <c r="F21" i="11" s="1"/>
  <c r="G30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1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<sst xmlns="http://schemas.openxmlformats.org/spreadsheetml/2006/main" count="254" uniqueCount="129">
  <si>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</si>
  <si>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</si>
  <si>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</si>
  <si>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</si>
  <si>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</si>
  <si>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</si>
  <si>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</si>
  <si>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</si>
  <si>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</si>
  <si>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</si>
  <si>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</si>
  <si>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</si>
  <si>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</si>
  <si>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</si>
  <si>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</si>
  <si>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</si>
  <si>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</si>
  <si>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</si>
  <si>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</si>
  <si>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</si>
  <si>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</si>
  <si>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</si>
  <si>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</si>
  <si>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</si>
  <si>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</si>
  <si>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</si>
  <si>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</si>
  <si>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</si>
  <si>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</si>
  <si>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</si>
  <si>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</si>
  <si>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</si>
  <si>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</si>
  <si>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</si>
  <si>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</si>
  <si>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</si>
  <si>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</si>
  <si>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</si>
  <si>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</si>
  <si>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</si>
  <si>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</si>
  <si>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</si>
  <si>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</si>
  <si>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</si>
  <si>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</si>
  <si>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</si>
  <si>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</si>
  <si>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</si>
  <si>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</si>
  <si>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</si>
  <si>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</si>
  <si>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</si>
  <si>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</si>
  <si>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</si>
  <si>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</si>
  <si>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</si>
  <si>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</si>
  <si>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</si>
  <si>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</si>
  <si>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</si>
  <si>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</si>
  <si>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</si>
  <si>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</si>
  <si>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</si>
  <si>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</si>
  <si>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</si>
  <si>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</si>
  <si>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</si>
  <si>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</si>
  <si>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</si>
  <si>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</si>
  <si>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</si>
  <si>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</si>
  <si>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</si>
  <si>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</si>
  <si>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</si>
  <si>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</si>
  <si>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</si>
  <si>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</si>
  <si>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</si>
  <si>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</si>
  <si>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</si>
  <si>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</si>
  <si>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</si>
  <si>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</si>
  <si>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</si>
  <si>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</si>
  <si>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</si>
  <si>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</si>
  <si>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</si>
  <si>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</si>
  <si>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</si>
  <si>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</si>
  <si>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</si>
  <si>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</si>
  <si>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</si>
  <si>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</si>
  <si>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</si>
  <si>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</si>
  <si>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</si>
  <si>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</si>
  <si>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</si>
  <si>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</si>
  <si>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</si>
  <si>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</si>
  <si>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</si>
  <si>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</si>
  <si>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</si>
  <si>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</si>
  <si>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</si>
  <si>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anlægsomkostninger inkl. finansielle omkostninger</t>
  </si>
  <si>
    <t>Til økonomisk ramme for 2017-2018</t>
  </si>
  <si>
    <t>Beluftningsanlæg, iltningstrappe, Kontruktioner</t>
  </si>
  <si>
    <t>Elanlæg</t>
  </si>
  <si>
    <t>Køretøjer, store lastvogne (&gt; 3.500 kg.)</t>
  </si>
  <si>
    <t>Ø 50mm &lt; Ledningsnet ≤ Ø110 mm</t>
  </si>
  <si>
    <t xml:space="preserve">Afregningsmålere, mekaniske </t>
  </si>
  <si>
    <t>Boring (inkl. etablering, forerør, filter og prøvepumpning)</t>
  </si>
  <si>
    <t>SRO anlæg</t>
  </si>
  <si>
    <t>SRO-brønd/kvarterbrønd/sektionsbrønd,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</si>
  <si>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</si>
  <si>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</si>
  <si>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</si>
  <si>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</si>
  <si>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Årlig tillæg for gæld til tjenestemandspensioner</t>
  </si>
  <si>
    <t>Resterende indregningsperiode for gæld til tjenestemandspensioner</t>
  </si>
  <si>
    <t>år</t>
  </si>
  <si>
    <t>- heraf driftsomkostninger</t>
  </si>
  <si>
    <t>Tidligere indregnet tillæg for gæld til tjenestemandspensioner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</si>
</sst>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8" t="s">
        <v>11</v>
      </c>
      <c r="E6" s="48"/>
      <c r="F6" s="48"/>
      <c r="G6" s="48"/>
      <c r="H6" s="4"/>
      <c r="I6" s="1"/>
    </row>
    <row r="7" spans="1:9" ht="15" customHeight="1" x14ac:dyDescent="0.25">
      <c r="A7" s="1"/>
      <c r="B7" s="1"/>
      <c r="C7" s="4"/>
      <c r="D7" s="48"/>
      <c r="E7" s="48"/>
      <c r="F7" s="48"/>
      <c r="G7" s="48"/>
      <c r="H7" s="4"/>
      <c r="I7" s="1"/>
    </row>
    <row r="8" spans="1:9" ht="15.75" x14ac:dyDescent="0.25">
      <c r="A8" s="1"/>
      <c r="B8" s="1"/>
      <c r="C8" s="5"/>
      <c r="D8" s="56" t="s">
        <v>111</v>
      </c>
      <c r="E8" s="56"/>
      <c r="F8" s="56"/>
      <c r="G8" s="56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5" t="s">
        <v>12</v>
      </c>
      <c r="E11" s="55"/>
      <c r="F11" s="55"/>
      <c r="G11" s="55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6" t="s">
        <v>23</v>
      </c>
      <c r="E13" s="67"/>
      <c r="F13" s="67"/>
      <c r="G13" s="68"/>
      <c r="H13" s="1"/>
      <c r="I13" s="1"/>
    </row>
    <row r="14" spans="1:9" x14ac:dyDescent="0.25">
      <c r="A14" s="1"/>
      <c r="B14" s="1"/>
      <c r="C14" s="3" t="s">
        <v>14</v>
      </c>
      <c r="D14" s="69" t="s">
        <v>22</v>
      </c>
      <c r="E14" s="70"/>
      <c r="F14" s="70"/>
      <c r="G14" s="71"/>
      <c r="H14" s="1"/>
      <c r="I14" s="1"/>
    </row>
    <row r="15" spans="1:9" x14ac:dyDescent="0.25">
      <c r="A15" s="1"/>
      <c r="B15" s="1"/>
      <c r="C15" s="3" t="s">
        <v>15</v>
      </c>
      <c r="D15" s="57" t="s">
        <v>24</v>
      </c>
      <c r="E15" s="58"/>
      <c r="F15" s="58"/>
      <c r="G15" s="59"/>
      <c r="H15" s="1"/>
      <c r="I15" s="1"/>
    </row>
    <row r="16" spans="1:9" x14ac:dyDescent="0.25">
      <c r="A16" s="1"/>
      <c r="B16" s="1"/>
      <c r="C16" s="3" t="s">
        <v>16</v>
      </c>
      <c r="D16" s="60" t="s">
        <v>25</v>
      </c>
      <c r="E16" s="61"/>
      <c r="F16" s="61"/>
      <c r="G16" s="62"/>
      <c r="H16" s="1"/>
      <c r="I16" s="1"/>
    </row>
    <row r="17" spans="1:9" x14ac:dyDescent="0.25">
      <c r="A17" s="1"/>
      <c r="B17" s="1"/>
      <c r="C17" s="3" t="s">
        <v>17</v>
      </c>
      <c r="D17" s="60" t="s">
        <v>26</v>
      </c>
      <c r="E17" s="61"/>
      <c r="F17" s="61"/>
      <c r="G17" s="62"/>
      <c r="H17" s="1"/>
      <c r="I17" s="1"/>
    </row>
    <row r="18" spans="1:9" x14ac:dyDescent="0.25">
      <c r="A18" s="1"/>
      <c r="B18" s="1"/>
      <c r="C18" s="3" t="s">
        <v>18</v>
      </c>
      <c r="D18" s="63" t="s">
        <v>32</v>
      </c>
      <c r="E18" s="64"/>
      <c r="F18" s="64"/>
      <c r="G18" s="65"/>
      <c r="H18" s="1"/>
      <c r="I18" s="1"/>
    </row>
    <row r="19" spans="1:9" x14ac:dyDescent="0.25">
      <c r="A19" s="1"/>
      <c r="B19" s="1"/>
      <c r="C19" s="3" t="s">
        <v>19</v>
      </c>
      <c r="D19" s="49" t="s">
        <v>5</v>
      </c>
      <c r="E19" s="50"/>
      <c r="F19" s="50"/>
      <c r="G19" s="51"/>
      <c r="H19" s="1"/>
      <c r="I19" s="1"/>
    </row>
    <row r="20" spans="1:9" x14ac:dyDescent="0.25">
      <c r="A20" s="1"/>
      <c r="B20" s="1"/>
      <c r="C20" s="3" t="s">
        <v>20</v>
      </c>
      <c r="D20" s="49" t="s">
        <v>28</v>
      </c>
      <c r="E20" s="50"/>
      <c r="F20" s="50"/>
      <c r="G20" s="51"/>
      <c r="H20" s="1"/>
      <c r="I20" s="1"/>
    </row>
    <row r="21" spans="1:9" x14ac:dyDescent="0.25">
      <c r="A21" s="1"/>
      <c r="B21" s="1"/>
      <c r="C21" s="3" t="s">
        <v>21</v>
      </c>
      <c r="D21" s="52" t="s">
        <v>29</v>
      </c>
      <c r="E21" s="53"/>
      <c r="F21" s="53"/>
      <c r="G21" s="54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1" t="s">
        <v>6</v>
      </c>
      <c r="C3" s="101"/>
      <c r="D3" s="101"/>
      <c r="E3" s="101"/>
      <c r="F3" s="101"/>
      <c r="G3" s="101"/>
      <c r="H3" s="101"/>
      <c r="I3" s="1"/>
    </row>
    <row r="4" spans="1:9" ht="15" customHeight="1" x14ac:dyDescent="0.25">
      <c r="A4" s="1"/>
      <c r="B4" s="101"/>
      <c r="C4" s="101"/>
      <c r="D4" s="101"/>
      <c r="E4" s="101"/>
      <c r="F4" s="101"/>
      <c r="G4" s="101"/>
      <c r="H4" s="10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45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86" t="s">
        <v>47</v>
      </c>
      <c r="C9" s="87"/>
      <c r="D9" s="87"/>
      <c r="E9" s="87"/>
      <c r="F9" s="88"/>
      <c r="G9" s="35">
        <v>182058355</v>
      </c>
      <c r="H9" s="16" t="s">
        <v>4</v>
      </c>
      <c r="I9" s="1"/>
    </row>
    <row r="10" spans="1:9" x14ac:dyDescent="0.25">
      <c r="A10" s="1"/>
      <c r="B10" s="78" t="s">
        <v>48</v>
      </c>
      <c r="C10" s="79"/>
      <c r="D10" s="79"/>
      <c r="E10" s="79"/>
      <c r="F10" s="79"/>
      <c r="G10" s="79"/>
      <c r="H10" s="80"/>
      <c r="I10" s="1"/>
    </row>
    <row r="11" spans="1:9" x14ac:dyDescent="0.25">
      <c r="A11" s="1"/>
      <c r="B11" s="82" t="s">
        <v>49</v>
      </c>
      <c r="C11" s="83"/>
      <c r="D11" s="84"/>
      <c r="E11" s="37">
        <v>31762351</v>
      </c>
      <c r="F11" s="10" t="s">
        <v>4</v>
      </c>
      <c r="G11" s="19"/>
      <c r="H11" s="25"/>
      <c r="I11" s="1"/>
    </row>
    <row r="12" spans="1:9" x14ac:dyDescent="0.25">
      <c r="A12" s="1"/>
      <c r="B12" s="82" t="s">
        <v>50</v>
      </c>
      <c r="C12" s="83"/>
      <c r="D12" s="84"/>
      <c r="E12" s="37">
        <v>7953927</v>
      </c>
      <c r="F12" s="10" t="s">
        <v>4</v>
      </c>
      <c r="G12" s="13"/>
      <c r="H12" s="26"/>
      <c r="I12" s="1"/>
    </row>
    <row r="13" spans="1:9" x14ac:dyDescent="0.25">
      <c r="A13" s="1"/>
      <c r="B13" s="82" t="s">
        <v>51</v>
      </c>
      <c r="C13" s="83"/>
      <c r="D13" s="84"/>
      <c r="E13" s="37">
        <v>-160370</v>
      </c>
      <c r="F13" s="10" t="s">
        <v>4</v>
      </c>
      <c r="G13" s="13"/>
      <c r="H13" s="26"/>
      <c r="I13" s="1"/>
    </row>
    <row r="14" spans="1:9" x14ac:dyDescent="0.25">
      <c r="A14" s="1"/>
      <c r="B14" s="82" t="s">
        <v>52</v>
      </c>
      <c r="C14" s="83"/>
      <c r="D14" s="84"/>
      <c r="E14" s="37">
        <v>4478177</v>
      </c>
      <c r="F14" s="10" t="s">
        <v>4</v>
      </c>
      <c r="G14" s="13"/>
      <c r="H14" s="26"/>
      <c r="I14" s="1"/>
    </row>
    <row r="15" spans="1:9" x14ac:dyDescent="0.25">
      <c r="A15" s="1"/>
      <c r="B15" s="86" t="s">
        <v>53</v>
      </c>
      <c r="C15" s="87"/>
      <c r="D15" s="88"/>
      <c r="E15" s="32">
        <f>SUM(E11:E14)</f>
        <v>44034085</v>
      </c>
      <c r="F15" s="16" t="s">
        <v>4</v>
      </c>
      <c r="G15" s="13"/>
      <c r="H15" s="26"/>
      <c r="I15" s="1"/>
    </row>
    <row r="16" spans="1:9" x14ac:dyDescent="0.25">
      <c r="A16" s="1"/>
      <c r="B16" s="82" t="s">
        <v>54</v>
      </c>
      <c r="C16" s="83"/>
      <c r="D16" s="84"/>
      <c r="E16" s="37">
        <v>1790300</v>
      </c>
      <c r="F16" s="10" t="s">
        <v>4</v>
      </c>
      <c r="G16" s="13"/>
      <c r="H16" s="26"/>
      <c r="I16" s="1"/>
    </row>
    <row r="17" spans="1:9" x14ac:dyDescent="0.25">
      <c r="A17" s="1"/>
      <c r="B17" s="82" t="s">
        <v>55</v>
      </c>
      <c r="C17" s="83"/>
      <c r="D17" s="84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82" t="s">
        <v>56</v>
      </c>
      <c r="C18" s="83"/>
      <c r="D18" s="84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6" t="s">
        <v>57</v>
      </c>
      <c r="C19" s="87"/>
      <c r="D19" s="88"/>
      <c r="E19" s="32">
        <f>SUM(E16:E18)</f>
        <v>1790300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5" t="s">
        <v>58</v>
      </c>
      <c r="C20" s="76"/>
      <c r="D20" s="77"/>
      <c r="E20" s="37">
        <v>-2667355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5" t="s">
        <v>59</v>
      </c>
      <c r="C21" s="76"/>
      <c r="D21" s="77"/>
      <c r="E21" s="37">
        <v>-20514871</v>
      </c>
      <c r="F21" s="10" t="s">
        <v>4</v>
      </c>
      <c r="G21" s="13"/>
      <c r="H21" s="26"/>
      <c r="I21" s="1"/>
    </row>
    <row r="22" spans="1:9" x14ac:dyDescent="0.25">
      <c r="A22" s="1"/>
      <c r="B22" s="82" t="s">
        <v>60</v>
      </c>
      <c r="C22" s="83"/>
      <c r="D22" s="84"/>
      <c r="E22" s="37">
        <v>-18904754</v>
      </c>
      <c r="F22" s="10" t="s">
        <v>4</v>
      </c>
      <c r="G22" s="13"/>
      <c r="H22" s="26"/>
      <c r="I22" s="1"/>
    </row>
    <row r="23" spans="1:9" x14ac:dyDescent="0.25">
      <c r="A23" s="1"/>
      <c r="B23" s="82" t="s">
        <v>61</v>
      </c>
      <c r="C23" s="83"/>
      <c r="D23" s="84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5" t="s">
        <v>62</v>
      </c>
      <c r="C24" s="76"/>
      <c r="D24" s="77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5" t="s">
        <v>63</v>
      </c>
      <c r="C25" s="76"/>
      <c r="D25" s="77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5" t="s">
        <v>64</v>
      </c>
      <c r="C26" s="76"/>
      <c r="D26" s="77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6" t="s">
        <v>65</v>
      </c>
      <c r="C27" s="87"/>
      <c r="D27" s="88"/>
      <c r="E27" s="32">
        <f>SUM(E20:E26)</f>
        <v>-42086980</v>
      </c>
      <c r="F27" s="16" t="s">
        <v>4</v>
      </c>
      <c r="G27" s="14"/>
      <c r="H27" s="27"/>
      <c r="I27" s="1"/>
    </row>
    <row r="28" spans="1:9" x14ac:dyDescent="0.25">
      <c r="A28" s="1"/>
      <c r="B28" s="86" t="s">
        <v>66</v>
      </c>
      <c r="C28" s="87"/>
      <c r="D28" s="88"/>
      <c r="E28" s="32">
        <f>E15+E19+E27</f>
        <v>3737405</v>
      </c>
      <c r="F28" s="16" t="s">
        <v>4</v>
      </c>
      <c r="G28" s="31">
        <f>IF(E28&lt;0,0,-E28)</f>
        <v>-3737405</v>
      </c>
      <c r="H28" s="16" t="s">
        <v>4</v>
      </c>
      <c r="I28" s="1"/>
    </row>
    <row r="29" spans="1:9" x14ac:dyDescent="0.25">
      <c r="A29" s="1"/>
      <c r="B29" s="78" t="s">
        <v>67</v>
      </c>
      <c r="C29" s="79"/>
      <c r="D29" s="79"/>
      <c r="E29" s="79"/>
      <c r="F29" s="79"/>
      <c r="G29" s="79"/>
      <c r="H29" s="80"/>
      <c r="I29" s="1"/>
    </row>
    <row r="30" spans="1:9" x14ac:dyDescent="0.25">
      <c r="A30" s="1"/>
      <c r="B30" s="86" t="s">
        <v>67</v>
      </c>
      <c r="C30" s="87"/>
      <c r="D30" s="88"/>
      <c r="E30" s="35">
        <v>17160835</v>
      </c>
      <c r="F30" s="16" t="s">
        <v>4</v>
      </c>
      <c r="G30" s="32">
        <f>-$E$30</f>
        <v>-17160835</v>
      </c>
      <c r="H30" s="16" t="s">
        <v>4</v>
      </c>
      <c r="I30" s="1"/>
    </row>
    <row r="31" spans="1:9" x14ac:dyDescent="0.25">
      <c r="A31" s="1"/>
      <c r="B31" s="102" t="s">
        <v>121</v>
      </c>
      <c r="C31" s="79"/>
      <c r="D31" s="79"/>
      <c r="E31" s="79"/>
      <c r="F31" s="79"/>
      <c r="G31" s="79"/>
      <c r="H31" s="80"/>
      <c r="I31" s="1"/>
    </row>
    <row r="32" spans="1:9" ht="30" customHeight="1" x14ac:dyDescent="0.25">
      <c r="A32" s="1"/>
      <c r="B32" s="75" t="s">
        <v>122</v>
      </c>
      <c r="C32" s="76"/>
      <c r="D32" s="77"/>
      <c r="E32" s="37">
        <v>161160115</v>
      </c>
      <c r="F32" s="10" t="s">
        <v>4</v>
      </c>
      <c r="G32" s="19"/>
      <c r="H32" s="25"/>
      <c r="I32" s="1"/>
    </row>
    <row r="33" spans="1:9" x14ac:dyDescent="0.25">
      <c r="A33" s="1"/>
      <c r="B33" s="82" t="s">
        <v>68</v>
      </c>
      <c r="C33" s="83"/>
      <c r="D33" s="84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5" t="s">
        <v>69</v>
      </c>
      <c r="C34" s="76"/>
      <c r="D34" s="77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6" t="s">
        <v>70</v>
      </c>
      <c r="C35" s="87"/>
      <c r="D35" s="88"/>
      <c r="E35" s="32">
        <f>SUM(E32:E34)</f>
        <v>161160115</v>
      </c>
      <c r="F35" s="16" t="s">
        <v>4</v>
      </c>
      <c r="G35" s="32">
        <f>-E35</f>
        <v>-161160115</v>
      </c>
      <c r="H35" s="16" t="s">
        <v>4</v>
      </c>
      <c r="I35" s="1"/>
    </row>
    <row r="36" spans="1:9" x14ac:dyDescent="0.25">
      <c r="A36" s="1"/>
      <c r="B36" s="78" t="s">
        <v>46</v>
      </c>
      <c r="C36" s="79"/>
      <c r="D36" s="79"/>
      <c r="E36" s="79"/>
      <c r="F36" s="80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C29" sqref="C29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1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123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109</v>
      </c>
      <c r="C8" s="79"/>
      <c r="D8" s="79"/>
      <c r="E8" s="79"/>
      <c r="F8" s="79"/>
      <c r="G8" s="79"/>
      <c r="H8" s="80"/>
      <c r="I8" s="1"/>
    </row>
    <row r="9" spans="1:9" ht="30" customHeight="1" x14ac:dyDescent="0.25">
      <c r="A9" s="1"/>
      <c r="B9" s="75" t="s">
        <v>31</v>
      </c>
      <c r="C9" s="76"/>
      <c r="D9" s="77"/>
      <c r="E9" s="34">
        <f>'Fane 3. Grundlag'!G12</f>
        <v>170294013.52526188</v>
      </c>
      <c r="F9" s="7" t="s">
        <v>4</v>
      </c>
      <c r="G9" s="8"/>
      <c r="H9" s="9"/>
      <c r="I9" s="1"/>
    </row>
    <row r="10" spans="1:9" x14ac:dyDescent="0.25">
      <c r="A10" s="1"/>
      <c r="B10" s="85" t="s">
        <v>97</v>
      </c>
      <c r="C10" s="83"/>
      <c r="D10" s="84"/>
      <c r="E10" s="20">
        <f>'Fane 3. Grundlag'!G11</f>
        <v>58459619.033740595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25</v>
      </c>
      <c r="C11" s="83"/>
      <c r="D11" s="84"/>
      <c r="E11" s="20">
        <f>'Fane 4. Individuelt eff.krav'!G11</f>
        <v>340231.96266573167</v>
      </c>
      <c r="F11" s="7" t="s">
        <v>4</v>
      </c>
      <c r="G11" s="13"/>
      <c r="H11" s="12"/>
      <c r="I11" s="1"/>
    </row>
    <row r="12" spans="1:9" x14ac:dyDescent="0.25">
      <c r="A12" s="1"/>
      <c r="B12" s="82" t="s">
        <v>26</v>
      </c>
      <c r="C12" s="83"/>
      <c r="D12" s="84"/>
      <c r="E12" s="20">
        <f>'Fane 5. Generelt eff.krav'!G15</f>
        <v>1700714.0866235502</v>
      </c>
      <c r="F12" s="7" t="s">
        <v>4</v>
      </c>
      <c r="G12" s="14"/>
      <c r="H12" s="15"/>
      <c r="I12" s="1"/>
    </row>
    <row r="13" spans="1:9" x14ac:dyDescent="0.25">
      <c r="A13" s="1"/>
      <c r="B13" s="86" t="s">
        <v>43</v>
      </c>
      <c r="C13" s="87"/>
      <c r="D13" s="88"/>
      <c r="E13" s="32">
        <f>$E$9-$E$11-$E$12</f>
        <v>168253067.47597259</v>
      </c>
      <c r="F13" s="17" t="s">
        <v>4</v>
      </c>
      <c r="G13" s="32">
        <f>E13</f>
        <v>168253067.47597259</v>
      </c>
      <c r="H13" s="17" t="s">
        <v>4</v>
      </c>
      <c r="I13" s="1"/>
    </row>
    <row r="14" spans="1:9" x14ac:dyDescent="0.25">
      <c r="A14" s="1"/>
      <c r="B14" s="78" t="s">
        <v>32</v>
      </c>
      <c r="C14" s="79"/>
      <c r="D14" s="79"/>
      <c r="E14" s="79"/>
      <c r="F14" s="79"/>
      <c r="G14" s="79"/>
      <c r="H14" s="80"/>
      <c r="I14" s="1"/>
    </row>
    <row r="15" spans="1:9" x14ac:dyDescent="0.25">
      <c r="A15" s="1"/>
      <c r="B15" s="72" t="s">
        <v>108</v>
      </c>
      <c r="C15" s="73"/>
      <c r="D15" s="74"/>
      <c r="E15" s="32">
        <f>'Fane 6. Hist. over el. underdæk'!G15</f>
        <v>6885932</v>
      </c>
      <c r="F15" s="17" t="s">
        <v>4</v>
      </c>
      <c r="G15" s="32">
        <f>E15</f>
        <v>6885932</v>
      </c>
      <c r="H15" s="17" t="s">
        <v>4</v>
      </c>
      <c r="I15" s="1"/>
    </row>
    <row r="16" spans="1:9" x14ac:dyDescent="0.25">
      <c r="A16" s="1"/>
      <c r="B16" s="78" t="s">
        <v>28</v>
      </c>
      <c r="C16" s="79"/>
      <c r="D16" s="79"/>
      <c r="E16" s="79"/>
      <c r="F16" s="79"/>
      <c r="G16" s="79"/>
      <c r="H16" s="80"/>
      <c r="I16" s="1"/>
    </row>
    <row r="17" spans="1:9" x14ac:dyDescent="0.25">
      <c r="A17" s="1"/>
      <c r="B17" s="75" t="s">
        <v>35</v>
      </c>
      <c r="C17" s="76"/>
      <c r="D17" s="77"/>
      <c r="E17" s="20">
        <f>'Fane 8. Korrektion af PL2015'!G12</f>
        <v>4642619</v>
      </c>
      <c r="F17" s="7" t="s">
        <v>4</v>
      </c>
      <c r="G17" s="19"/>
      <c r="H17" s="9"/>
      <c r="I17" s="1"/>
    </row>
    <row r="18" spans="1:9" x14ac:dyDescent="0.25">
      <c r="A18" s="1"/>
      <c r="B18" s="75" t="s">
        <v>36</v>
      </c>
      <c r="C18" s="76"/>
      <c r="D18" s="77"/>
      <c r="E18" s="20">
        <f>'Fane 8. Korrektion af PL2015'!G18</f>
        <v>-283542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5" t="s">
        <v>98</v>
      </c>
      <c r="C19" s="76"/>
      <c r="D19" s="77"/>
      <c r="E19" s="20">
        <f>'Fane 8. Korrektion af PL2015'!G24</f>
        <v>60047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5" t="s">
        <v>37</v>
      </c>
      <c r="C20" s="76"/>
      <c r="D20" s="77"/>
      <c r="E20" s="20">
        <f>'Fane 8. Korrektion af PL2015'!G31</f>
        <v>1235533.4866666673</v>
      </c>
      <c r="F20" s="7" t="s">
        <v>4</v>
      </c>
      <c r="G20" s="14"/>
      <c r="H20" s="15"/>
      <c r="I20" s="1"/>
    </row>
    <row r="21" spans="1:9" x14ac:dyDescent="0.25">
      <c r="A21" s="1"/>
      <c r="B21" s="72" t="s">
        <v>38</v>
      </c>
      <c r="C21" s="73"/>
      <c r="D21" s="74"/>
      <c r="E21" s="32">
        <f>SUM(E17:E20)</f>
        <v>5654657.4866666673</v>
      </c>
      <c r="F21" s="17" t="s">
        <v>4</v>
      </c>
      <c r="G21" s="32">
        <f>E21</f>
        <v>5654657.4866666673</v>
      </c>
      <c r="H21" s="17" t="s">
        <v>4</v>
      </c>
      <c r="I21" s="1"/>
    </row>
    <row r="22" spans="1:9" x14ac:dyDescent="0.25">
      <c r="A22" s="1"/>
      <c r="B22" s="78" t="s">
        <v>33</v>
      </c>
      <c r="C22" s="79"/>
      <c r="D22" s="79"/>
      <c r="E22" s="79"/>
      <c r="F22" s="79"/>
      <c r="G22" s="79"/>
      <c r="H22" s="80"/>
      <c r="I22" s="1"/>
    </row>
    <row r="23" spans="1:9" x14ac:dyDescent="0.25">
      <c r="A23" s="1"/>
      <c r="B23" s="72" t="s">
        <v>34</v>
      </c>
      <c r="C23" s="73"/>
      <c r="D23" s="74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78" t="s">
        <v>39</v>
      </c>
      <c r="C24" s="79"/>
      <c r="D24" s="79"/>
      <c r="E24" s="79"/>
      <c r="F24" s="80"/>
      <c r="G24" s="33">
        <f>G13+G15+G21+G23</f>
        <v>180793656.96263927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>
      <selection activeCell="B8" sqref="B8:H19"/>
    </sheetView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10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109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75" t="s">
        <v>40</v>
      </c>
      <c r="C9" s="76"/>
      <c r="D9" s="77"/>
      <c r="E9" s="36">
        <f>'Fane 2.1. Økonomisk ramme 2017'!$E$9-'Fane 2.1. Økonomisk ramme 2017'!$E$11-'Fane 2.1. Økonomisk ramme 2017'!$E$12</f>
        <v>168253067.47597259</v>
      </c>
      <c r="F9" s="7" t="s">
        <v>4</v>
      </c>
      <c r="G9" s="8"/>
      <c r="H9" s="9"/>
      <c r="I9" s="1"/>
    </row>
    <row r="10" spans="1:9" x14ac:dyDescent="0.25">
      <c r="A10" s="1"/>
      <c r="B10" s="85" t="s">
        <v>127</v>
      </c>
      <c r="C10" s="89"/>
      <c r="D10" s="90"/>
      <c r="E10" s="37">
        <f>'Fane 3. Grundlag'!$G$9*(1-'Fane 4. Individuelt eff.krav'!$G$10/100)-'Fane 5. Generelt eff.krav'!G$11</f>
        <v>61218599.158008151</v>
      </c>
      <c r="F10" s="7" t="s">
        <v>4</v>
      </c>
      <c r="G10" s="11"/>
      <c r="H10" s="12"/>
      <c r="I10" s="1"/>
    </row>
    <row r="11" spans="1:9" x14ac:dyDescent="0.25">
      <c r="A11" s="1"/>
      <c r="B11" s="85" t="s">
        <v>110</v>
      </c>
      <c r="C11" s="89"/>
      <c r="D11" s="90"/>
      <c r="E11" s="37">
        <f>'Fane 3. Grundlag'!$G$10*(1-'Fane 4. Individuelt eff.krav'!$G$10/100)-'Fane 5. Generelt eff.krav'!G$14</f>
        <v>48574849.284223862</v>
      </c>
      <c r="F11" s="7" t="s">
        <v>4</v>
      </c>
      <c r="G11" s="11"/>
      <c r="H11" s="12"/>
      <c r="I11" s="1"/>
    </row>
    <row r="12" spans="1:9" x14ac:dyDescent="0.25">
      <c r="A12" s="1"/>
      <c r="B12" s="85" t="s">
        <v>97</v>
      </c>
      <c r="C12" s="89"/>
      <c r="D12" s="90"/>
      <c r="E12" s="37">
        <f>'Fane 2.1. Økonomisk ramme 2017'!$E$10</f>
        <v>58459619.033740595</v>
      </c>
      <c r="F12" s="7" t="s">
        <v>4</v>
      </c>
      <c r="G12" s="11"/>
      <c r="H12" s="12"/>
      <c r="I12" s="1"/>
    </row>
    <row r="13" spans="1:9" x14ac:dyDescent="0.25">
      <c r="A13" s="1"/>
      <c r="B13" s="82" t="s">
        <v>41</v>
      </c>
      <c r="C13" s="83"/>
      <c r="D13" s="84"/>
      <c r="E13" s="37">
        <f>$E$9*0.0127</f>
        <v>2136813.9569448517</v>
      </c>
      <c r="F13" s="7" t="s">
        <v>4</v>
      </c>
      <c r="G13" s="13"/>
      <c r="H13" s="12"/>
      <c r="I13" s="1"/>
    </row>
    <row r="14" spans="1:9" x14ac:dyDescent="0.25">
      <c r="A14" s="1"/>
      <c r="B14" s="82" t="s">
        <v>25</v>
      </c>
      <c r="C14" s="83"/>
      <c r="D14" s="84"/>
      <c r="E14" s="37">
        <f>('Fane 2.2. Økonomisk ramme 2018'!$E$9-'Fane 2.2. Økonomisk ramme 2018'!$E$12)*1.0127*'Fane 4. Individuelt eff.krav'!$G$10/100</f>
        <v>338264.91552148992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1692806.1965148151</v>
      </c>
      <c r="F15" s="7" t="s">
        <v>4</v>
      </c>
      <c r="G15" s="14"/>
      <c r="H15" s="15"/>
      <c r="I15" s="1"/>
    </row>
    <row r="16" spans="1:9" x14ac:dyDescent="0.25">
      <c r="A16" s="1"/>
      <c r="B16" s="86" t="s">
        <v>43</v>
      </c>
      <c r="C16" s="87"/>
      <c r="D16" s="88"/>
      <c r="E16" s="32">
        <f>$E$9+$E$13-$E$14-$E$15</f>
        <v>168358810.32088113</v>
      </c>
      <c r="F16" s="17" t="s">
        <v>4</v>
      </c>
      <c r="G16" s="32">
        <f>E16</f>
        <v>168358810.32088113</v>
      </c>
      <c r="H16" s="17" t="s">
        <v>4</v>
      </c>
      <c r="I16" s="1"/>
    </row>
    <row r="17" spans="1:9" x14ac:dyDescent="0.25">
      <c r="A17" s="1"/>
      <c r="B17" s="78" t="s">
        <v>32</v>
      </c>
      <c r="C17" s="79"/>
      <c r="D17" s="79"/>
      <c r="E17" s="79"/>
      <c r="F17" s="79"/>
      <c r="G17" s="79"/>
      <c r="H17" s="80"/>
      <c r="I17" s="1"/>
    </row>
    <row r="18" spans="1:9" ht="15" customHeight="1" x14ac:dyDescent="0.25">
      <c r="A18" s="1"/>
      <c r="B18" s="72" t="s">
        <v>108</v>
      </c>
      <c r="C18" s="73"/>
      <c r="D18" s="74"/>
      <c r="E18" s="35">
        <f>IF('Fane 6. Hist. over el. underdæk'!$G$14&gt;1,'Fane 6. Hist. over el. underdæk'!$G$15,0)</f>
        <v>6885932</v>
      </c>
      <c r="F18" s="17" t="s">
        <v>4</v>
      </c>
      <c r="G18" s="32">
        <f>E18</f>
        <v>6885932</v>
      </c>
      <c r="H18" s="17" t="s">
        <v>4</v>
      </c>
      <c r="I18" s="1"/>
    </row>
    <row r="19" spans="1:9" x14ac:dyDescent="0.25">
      <c r="A19" s="1"/>
      <c r="B19" s="78" t="s">
        <v>42</v>
      </c>
      <c r="C19" s="79"/>
      <c r="D19" s="79"/>
      <c r="E19" s="79"/>
      <c r="F19" s="80"/>
      <c r="G19" s="33">
        <f>G16+G18</f>
        <v>175244742.32088113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3.5703125" customWidth="1"/>
    <col min="7" max="7" width="10.8554687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9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44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82" t="s">
        <v>99</v>
      </c>
      <c r="C9" s="83"/>
      <c r="D9" s="83"/>
      <c r="E9" s="83"/>
      <c r="F9" s="84"/>
      <c r="G9" s="37">
        <v>62662485.940431796</v>
      </c>
      <c r="H9" s="10" t="s">
        <v>4</v>
      </c>
      <c r="I9" s="1"/>
    </row>
    <row r="10" spans="1:9" x14ac:dyDescent="0.25">
      <c r="A10" s="1"/>
      <c r="B10" s="82" t="s">
        <v>100</v>
      </c>
      <c r="C10" s="83"/>
      <c r="D10" s="83"/>
      <c r="E10" s="83"/>
      <c r="F10" s="84"/>
      <c r="G10" s="37">
        <v>49171908.551089488</v>
      </c>
      <c r="H10" s="10" t="s">
        <v>4</v>
      </c>
      <c r="I10" s="1"/>
    </row>
    <row r="11" spans="1:9" x14ac:dyDescent="0.25">
      <c r="A11" s="1"/>
      <c r="B11" s="82" t="s">
        <v>101</v>
      </c>
      <c r="C11" s="83"/>
      <c r="D11" s="83"/>
      <c r="E11" s="83"/>
      <c r="F11" s="84"/>
      <c r="G11" s="37">
        <v>58459619.033740595</v>
      </c>
      <c r="H11" s="10" t="s">
        <v>4</v>
      </c>
      <c r="I11" s="1"/>
    </row>
    <row r="12" spans="1:9" x14ac:dyDescent="0.25">
      <c r="A12" s="1"/>
      <c r="B12" s="78" t="s">
        <v>44</v>
      </c>
      <c r="C12" s="79"/>
      <c r="D12" s="79"/>
      <c r="E12" s="79"/>
      <c r="F12" s="80"/>
      <c r="G12" s="33">
        <f>SUM(G9:G11)</f>
        <v>170294013.52526188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27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25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82" t="s">
        <v>103</v>
      </c>
      <c r="C9" s="83"/>
      <c r="D9" s="83"/>
      <c r="E9" s="83"/>
      <c r="F9" s="84"/>
      <c r="G9" s="20">
        <f>'Fane 3. Grundlag'!G12-'Fane 3. Grundlag'!G11</f>
        <v>111834394.49152128</v>
      </c>
      <c r="H9" s="10" t="s">
        <v>4</v>
      </c>
      <c r="I9" s="1"/>
    </row>
    <row r="10" spans="1:9" x14ac:dyDescent="0.25">
      <c r="A10" s="1"/>
      <c r="B10" s="82" t="s">
        <v>71</v>
      </c>
      <c r="C10" s="83"/>
      <c r="D10" s="83"/>
      <c r="E10" s="83"/>
      <c r="F10" s="84"/>
      <c r="G10" s="44">
        <v>0.30422837644238898</v>
      </c>
      <c r="H10" s="10" t="s">
        <v>72</v>
      </c>
      <c r="I10" s="1"/>
    </row>
    <row r="11" spans="1:9" x14ac:dyDescent="0.25">
      <c r="A11" s="1"/>
      <c r="B11" s="78" t="s">
        <v>25</v>
      </c>
      <c r="C11" s="79"/>
      <c r="D11" s="79"/>
      <c r="E11" s="79"/>
      <c r="F11" s="80"/>
      <c r="G11" s="33">
        <f>$G$9*$G$10/100</f>
        <v>340231.96266573167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8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105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1" t="s">
        <v>99</v>
      </c>
      <c r="C9" s="92"/>
      <c r="D9" s="92"/>
      <c r="E9" s="92"/>
      <c r="F9" s="93"/>
      <c r="G9" s="20">
        <f>'Fane 3. Grundlag'!G9</f>
        <v>62662485.940431796</v>
      </c>
      <c r="H9" s="10" t="s">
        <v>4</v>
      </c>
      <c r="I9" s="1"/>
    </row>
    <row r="10" spans="1:9" x14ac:dyDescent="0.25">
      <c r="A10" s="1"/>
      <c r="B10" s="82" t="s">
        <v>26</v>
      </c>
      <c r="C10" s="83"/>
      <c r="D10" s="83"/>
      <c r="E10" s="83"/>
      <c r="F10" s="84"/>
      <c r="G10" s="42">
        <f>2</f>
        <v>2</v>
      </c>
      <c r="H10" s="10" t="s">
        <v>72</v>
      </c>
      <c r="I10" s="1"/>
    </row>
    <row r="11" spans="1:9" x14ac:dyDescent="0.25">
      <c r="A11" s="1"/>
      <c r="B11" s="86" t="s">
        <v>73</v>
      </c>
      <c r="C11" s="87"/>
      <c r="D11" s="87"/>
      <c r="E11" s="87"/>
      <c r="F11" s="88"/>
      <c r="G11" s="32">
        <f>$G$9*$G$10/100</f>
        <v>1253249.7188086358</v>
      </c>
      <c r="H11" s="16" t="s">
        <v>4</v>
      </c>
      <c r="I11" s="1"/>
    </row>
    <row r="12" spans="1:9" x14ac:dyDescent="0.25">
      <c r="A12" s="1"/>
      <c r="B12" s="82" t="s">
        <v>100</v>
      </c>
      <c r="C12" s="83"/>
      <c r="D12" s="83"/>
      <c r="E12" s="83"/>
      <c r="F12" s="84"/>
      <c r="G12" s="20">
        <f>'Fane 3. Grundlag'!G10</f>
        <v>49171908.551089488</v>
      </c>
      <c r="H12" s="10" t="s">
        <v>4</v>
      </c>
      <c r="I12" s="1"/>
    </row>
    <row r="13" spans="1:9" x14ac:dyDescent="0.25">
      <c r="A13" s="1"/>
      <c r="B13" s="82" t="s">
        <v>26</v>
      </c>
      <c r="C13" s="83"/>
      <c r="D13" s="83"/>
      <c r="E13" s="83"/>
      <c r="F13" s="84"/>
      <c r="G13" s="43">
        <f>0.91</f>
        <v>0.91</v>
      </c>
      <c r="H13" s="10" t="s">
        <v>72</v>
      </c>
      <c r="I13" s="1"/>
    </row>
    <row r="14" spans="1:9" x14ac:dyDescent="0.25">
      <c r="A14" s="1"/>
      <c r="B14" s="86" t="s">
        <v>74</v>
      </c>
      <c r="C14" s="87"/>
      <c r="D14" s="87"/>
      <c r="E14" s="87"/>
      <c r="F14" s="88"/>
      <c r="G14" s="32">
        <f>$G$12*$G$13/100</f>
        <v>447464.36781491438</v>
      </c>
      <c r="H14" s="16" t="s">
        <v>4</v>
      </c>
      <c r="I14" s="1"/>
    </row>
    <row r="15" spans="1:9" x14ac:dyDescent="0.25">
      <c r="A15" s="1"/>
      <c r="B15" s="78" t="s">
        <v>104</v>
      </c>
      <c r="C15" s="79"/>
      <c r="D15" s="79"/>
      <c r="E15" s="79"/>
      <c r="F15" s="80"/>
      <c r="G15" s="33">
        <f>G11+G14</f>
        <v>1700714.0866235502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view="pageLayout" zoomScaleNormal="100" workbookViewId="0">
      <selection activeCell="B13" sqref="B13:F13"/>
    </sheetView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106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107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82" t="s">
        <v>76</v>
      </c>
      <c r="C9" s="83"/>
      <c r="D9" s="83"/>
      <c r="E9" s="83"/>
      <c r="F9" s="84"/>
      <c r="G9" s="37">
        <v>13169586</v>
      </c>
      <c r="H9" s="10" t="s">
        <v>4</v>
      </c>
      <c r="I9" s="1"/>
    </row>
    <row r="10" spans="1:9" x14ac:dyDescent="0.25">
      <c r="A10" s="1"/>
      <c r="B10" s="82" t="s">
        <v>77</v>
      </c>
      <c r="C10" s="83"/>
      <c r="D10" s="83"/>
      <c r="E10" s="83"/>
      <c r="F10" s="84"/>
      <c r="G10" s="37">
        <v>13169586</v>
      </c>
      <c r="H10" s="10" t="s">
        <v>4</v>
      </c>
      <c r="I10" s="1"/>
    </row>
    <row r="11" spans="1:9" x14ac:dyDescent="0.25">
      <c r="A11" s="1"/>
      <c r="B11" s="94" t="s">
        <v>91</v>
      </c>
      <c r="C11" s="95"/>
      <c r="D11" s="95"/>
      <c r="E11" s="95"/>
      <c r="F11" s="96"/>
      <c r="G11" s="38">
        <v>0</v>
      </c>
      <c r="H11" s="23" t="s">
        <v>4</v>
      </c>
      <c r="I11" s="1"/>
    </row>
    <row r="12" spans="1:9" x14ac:dyDescent="0.25">
      <c r="A12" s="1"/>
      <c r="B12" s="82" t="s">
        <v>78</v>
      </c>
      <c r="C12" s="83"/>
      <c r="D12" s="83"/>
      <c r="E12" s="83"/>
      <c r="F12" s="84"/>
      <c r="G12" s="37">
        <v>0</v>
      </c>
      <c r="H12" s="10" t="s">
        <v>126</v>
      </c>
      <c r="I12" s="1"/>
    </row>
    <row r="13" spans="1:9" x14ac:dyDescent="0.25">
      <c r="A13" s="1"/>
      <c r="B13" s="86" t="s">
        <v>124</v>
      </c>
      <c r="C13" s="87"/>
      <c r="D13" s="87"/>
      <c r="E13" s="87"/>
      <c r="F13" s="88"/>
      <c r="G13" s="35">
        <v>6885932</v>
      </c>
      <c r="H13" s="16" t="s">
        <v>4</v>
      </c>
      <c r="I13" s="1"/>
    </row>
    <row r="14" spans="1:9" x14ac:dyDescent="0.25">
      <c r="A14" s="1"/>
      <c r="B14" s="45" t="s">
        <v>125</v>
      </c>
      <c r="C14" s="46"/>
      <c r="D14" s="46"/>
      <c r="E14" s="46"/>
      <c r="F14" s="47"/>
      <c r="G14" s="37">
        <v>4</v>
      </c>
      <c r="H14" s="10" t="s">
        <v>126</v>
      </c>
      <c r="I14" s="1"/>
    </row>
    <row r="15" spans="1:9" x14ac:dyDescent="0.25">
      <c r="A15" s="1"/>
      <c r="B15" s="78" t="s">
        <v>75</v>
      </c>
      <c r="C15" s="79"/>
      <c r="D15" s="79"/>
      <c r="E15" s="79"/>
      <c r="F15" s="80"/>
      <c r="G15" s="33">
        <f>G13</f>
        <v>6885932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8">
    <mergeCell ref="B15:F15"/>
    <mergeCell ref="B13:F13"/>
    <mergeCell ref="B3:H4"/>
    <mergeCell ref="B8:H8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1" t="s">
        <v>30</v>
      </c>
      <c r="C3" s="81"/>
      <c r="D3" s="81"/>
      <c r="E3" s="81"/>
      <c r="F3" s="81"/>
      <c r="G3" s="81"/>
      <c r="H3" s="1"/>
    </row>
    <row r="4" spans="1:8" ht="15" customHeight="1" x14ac:dyDescent="0.25">
      <c r="A4" s="1"/>
      <c r="B4" s="81"/>
      <c r="C4" s="81"/>
      <c r="D4" s="81"/>
      <c r="E4" s="81"/>
      <c r="F4" s="81"/>
      <c r="G4" s="8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8" t="s">
        <v>5</v>
      </c>
      <c r="C8" s="79"/>
      <c r="D8" s="79"/>
      <c r="E8" s="79"/>
      <c r="F8" s="79"/>
      <c r="G8" s="80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7" t="s">
        <v>3</v>
      </c>
      <c r="G9" s="97"/>
      <c r="H9" s="1"/>
    </row>
    <row r="10" spans="1:8" x14ac:dyDescent="0.25">
      <c r="A10" s="1"/>
      <c r="B10" s="41" t="s">
        <v>112</v>
      </c>
      <c r="C10" s="39">
        <v>2015</v>
      </c>
      <c r="D10" s="39">
        <v>50</v>
      </c>
      <c r="E10" s="37">
        <v>88624</v>
      </c>
      <c r="F10" s="20">
        <f>E10/D10</f>
        <v>1772.48</v>
      </c>
      <c r="G10" s="10" t="s">
        <v>4</v>
      </c>
      <c r="H10" s="1"/>
    </row>
    <row r="11" spans="1:8" x14ac:dyDescent="0.25">
      <c r="A11" s="1"/>
      <c r="B11" s="41" t="s">
        <v>113</v>
      </c>
      <c r="C11" s="39">
        <v>2015</v>
      </c>
      <c r="D11" s="39">
        <v>20</v>
      </c>
      <c r="E11" s="37">
        <v>58407</v>
      </c>
      <c r="F11" s="20">
        <f t="shared" ref="F11:F20" si="0">E11/D11</f>
        <v>2920.35</v>
      </c>
      <c r="G11" s="10" t="s">
        <v>4</v>
      </c>
      <c r="H11" s="1"/>
    </row>
    <row r="12" spans="1:8" x14ac:dyDescent="0.25">
      <c r="A12" s="1"/>
      <c r="B12" s="41" t="s">
        <v>114</v>
      </c>
      <c r="C12" s="39">
        <v>2015</v>
      </c>
      <c r="D12" s="39">
        <v>5</v>
      </c>
      <c r="E12" s="37">
        <v>6300894</v>
      </c>
      <c r="F12" s="20">
        <f t="shared" si="0"/>
        <v>1260178.8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75</v>
      </c>
      <c r="E13" s="37">
        <v>10900316</v>
      </c>
      <c r="F13" s="20">
        <f t="shared" si="0"/>
        <v>145337.54666666666</v>
      </c>
      <c r="G13" s="10" t="s">
        <v>4</v>
      </c>
      <c r="H13" s="1"/>
    </row>
    <row r="14" spans="1:8" x14ac:dyDescent="0.25">
      <c r="A14" s="1"/>
      <c r="B14" s="41" t="s">
        <v>113</v>
      </c>
      <c r="C14" s="39">
        <v>2015</v>
      </c>
      <c r="D14" s="39">
        <v>20</v>
      </c>
      <c r="E14" s="37">
        <v>144014</v>
      </c>
      <c r="F14" s="20">
        <f t="shared" si="0"/>
        <v>7200.7</v>
      </c>
      <c r="G14" s="10" t="s">
        <v>4</v>
      </c>
      <c r="H14" s="1"/>
    </row>
    <row r="15" spans="1:8" x14ac:dyDescent="0.25">
      <c r="A15" s="1"/>
      <c r="B15" s="41" t="s">
        <v>116</v>
      </c>
      <c r="C15" s="39">
        <v>2015</v>
      </c>
      <c r="D15" s="39">
        <v>8</v>
      </c>
      <c r="E15" s="37">
        <v>3743180</v>
      </c>
      <c r="F15" s="20">
        <f t="shared" si="0"/>
        <v>467897.5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30</v>
      </c>
      <c r="E16" s="37">
        <v>2982785</v>
      </c>
      <c r="F16" s="20">
        <f t="shared" si="0"/>
        <v>99426.166666666672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30</v>
      </c>
      <c r="E17" s="37">
        <v>639771</v>
      </c>
      <c r="F17" s="20">
        <f t="shared" si="0"/>
        <v>21325.7</v>
      </c>
      <c r="G17" s="10" t="s">
        <v>4</v>
      </c>
      <c r="H17" s="1"/>
    </row>
    <row r="18" spans="1:8" x14ac:dyDescent="0.25">
      <c r="A18" s="1"/>
      <c r="B18" s="41" t="s">
        <v>113</v>
      </c>
      <c r="C18" s="39">
        <v>2015</v>
      </c>
      <c r="D18" s="39">
        <v>20</v>
      </c>
      <c r="E18" s="37">
        <v>3605284</v>
      </c>
      <c r="F18" s="20">
        <f t="shared" si="0"/>
        <v>180264.2</v>
      </c>
      <c r="G18" s="10" t="s">
        <v>4</v>
      </c>
      <c r="H18" s="1"/>
    </row>
    <row r="19" spans="1:8" x14ac:dyDescent="0.25">
      <c r="A19" s="1"/>
      <c r="B19" s="41" t="s">
        <v>118</v>
      </c>
      <c r="C19" s="39">
        <v>2015</v>
      </c>
      <c r="D19" s="39">
        <v>10</v>
      </c>
      <c r="E19" s="37">
        <v>4850087</v>
      </c>
      <c r="F19" s="20">
        <f t="shared" si="0"/>
        <v>485008.7</v>
      </c>
      <c r="G19" s="10" t="s">
        <v>4</v>
      </c>
      <c r="H19" s="1"/>
    </row>
    <row r="20" spans="1:8" x14ac:dyDescent="0.25">
      <c r="A20" s="1"/>
      <c r="B20" s="41" t="s">
        <v>119</v>
      </c>
      <c r="C20" s="39">
        <v>2015</v>
      </c>
      <c r="D20" s="39">
        <v>10</v>
      </c>
      <c r="E20" s="37">
        <v>653476</v>
      </c>
      <c r="F20" s="20">
        <f t="shared" si="0"/>
        <v>65347.6</v>
      </c>
      <c r="G20" s="10" t="s">
        <v>4</v>
      </c>
      <c r="H20" s="1"/>
    </row>
    <row r="21" spans="1:8" x14ac:dyDescent="0.25">
      <c r="A21" s="1"/>
      <c r="B21" s="78" t="s">
        <v>120</v>
      </c>
      <c r="C21" s="79"/>
      <c r="D21" s="79"/>
      <c r="E21" s="80"/>
      <c r="F21" s="33">
        <f>SUM(F10:F20)</f>
        <v>2736679.7433333336</v>
      </c>
      <c r="G21" s="1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1" t="s">
        <v>7</v>
      </c>
      <c r="C3" s="101"/>
      <c r="D3" s="101"/>
      <c r="E3" s="101"/>
      <c r="F3" s="101"/>
      <c r="G3" s="101"/>
      <c r="H3" s="101"/>
      <c r="I3" s="1"/>
    </row>
    <row r="4" spans="1:9" ht="15" customHeight="1" x14ac:dyDescent="0.25">
      <c r="A4" s="1"/>
      <c r="B4" s="101"/>
      <c r="C4" s="101"/>
      <c r="D4" s="101"/>
      <c r="E4" s="101"/>
      <c r="F4" s="101"/>
      <c r="G4" s="101"/>
      <c r="H4" s="10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8" t="s">
        <v>92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82" t="s">
        <v>80</v>
      </c>
      <c r="C9" s="83"/>
      <c r="D9" s="83"/>
      <c r="E9" s="83"/>
      <c r="F9" s="84"/>
      <c r="G9" s="37">
        <v>58140619</v>
      </c>
      <c r="H9" s="10" t="s">
        <v>4</v>
      </c>
      <c r="I9" s="1"/>
    </row>
    <row r="10" spans="1:9" x14ac:dyDescent="0.25">
      <c r="A10" s="1"/>
      <c r="B10" s="82" t="s">
        <v>128</v>
      </c>
      <c r="C10" s="83"/>
      <c r="D10" s="83"/>
      <c r="E10" s="83"/>
      <c r="F10" s="84"/>
      <c r="G10" s="37">
        <v>6885932</v>
      </c>
      <c r="H10" s="10" t="s">
        <v>4</v>
      </c>
      <c r="I10" s="1"/>
    </row>
    <row r="11" spans="1:9" x14ac:dyDescent="0.25">
      <c r="A11" s="1"/>
      <c r="B11" s="82" t="s">
        <v>81</v>
      </c>
      <c r="C11" s="83"/>
      <c r="D11" s="83"/>
      <c r="E11" s="83"/>
      <c r="F11" s="84"/>
      <c r="G11" s="37">
        <v>60383932</v>
      </c>
      <c r="H11" s="10" t="s">
        <v>4</v>
      </c>
      <c r="I11" s="1"/>
    </row>
    <row r="12" spans="1:9" x14ac:dyDescent="0.25">
      <c r="A12" s="1"/>
      <c r="B12" s="78" t="s">
        <v>82</v>
      </c>
      <c r="C12" s="79"/>
      <c r="D12" s="79"/>
      <c r="E12" s="79"/>
      <c r="F12" s="80"/>
      <c r="G12" s="33">
        <f>G9+G10-G11</f>
        <v>4642619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1"/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98" t="s">
        <v>83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82" t="s">
        <v>84</v>
      </c>
      <c r="C16" s="83"/>
      <c r="D16" s="83"/>
      <c r="E16" s="83"/>
      <c r="F16" s="84"/>
      <c r="G16" s="37">
        <v>3016458</v>
      </c>
      <c r="H16" s="10" t="s">
        <v>4</v>
      </c>
      <c r="I16" s="1"/>
    </row>
    <row r="17" spans="1:9" x14ac:dyDescent="0.25">
      <c r="A17" s="1"/>
      <c r="B17" s="82" t="s">
        <v>85</v>
      </c>
      <c r="C17" s="83"/>
      <c r="D17" s="83"/>
      <c r="E17" s="83"/>
      <c r="F17" s="84"/>
      <c r="G17" s="37">
        <v>3300000</v>
      </c>
      <c r="H17" s="10" t="s">
        <v>4</v>
      </c>
      <c r="I17" s="1"/>
    </row>
    <row r="18" spans="1:9" x14ac:dyDescent="0.25">
      <c r="A18" s="1"/>
      <c r="B18" s="78" t="s">
        <v>86</v>
      </c>
      <c r="C18" s="79"/>
      <c r="D18" s="79"/>
      <c r="E18" s="79"/>
      <c r="F18" s="80"/>
      <c r="G18" s="33">
        <f>G16-G17</f>
        <v>-283542</v>
      </c>
      <c r="H18" s="18" t="s">
        <v>4</v>
      </c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21"/>
      <c r="C20" s="21"/>
      <c r="D20" s="21"/>
      <c r="E20" s="21"/>
      <c r="F20" s="21"/>
      <c r="G20" s="21"/>
      <c r="H20" s="21"/>
      <c r="I20" s="1"/>
    </row>
    <row r="21" spans="1:9" x14ac:dyDescent="0.25">
      <c r="A21" s="1"/>
      <c r="B21" s="98" t="s">
        <v>93</v>
      </c>
      <c r="C21" s="99"/>
      <c r="D21" s="99"/>
      <c r="E21" s="99"/>
      <c r="F21" s="99"/>
      <c r="G21" s="99"/>
      <c r="H21" s="100"/>
      <c r="I21" s="1"/>
    </row>
    <row r="22" spans="1:9" x14ac:dyDescent="0.25">
      <c r="A22" s="1"/>
      <c r="B22" s="82" t="s">
        <v>94</v>
      </c>
      <c r="C22" s="83"/>
      <c r="D22" s="83"/>
      <c r="E22" s="83"/>
      <c r="F22" s="84"/>
      <c r="G22" s="37">
        <v>816547</v>
      </c>
      <c r="H22" s="10" t="s">
        <v>4</v>
      </c>
      <c r="I22" s="1"/>
    </row>
    <row r="23" spans="1:9" x14ac:dyDescent="0.25">
      <c r="A23" s="1"/>
      <c r="B23" s="82" t="s">
        <v>96</v>
      </c>
      <c r="C23" s="83"/>
      <c r="D23" s="83"/>
      <c r="E23" s="83"/>
      <c r="F23" s="84"/>
      <c r="G23" s="37">
        <v>756500</v>
      </c>
      <c r="H23" s="10" t="s">
        <v>4</v>
      </c>
      <c r="I23" s="1"/>
    </row>
    <row r="24" spans="1:9" x14ac:dyDescent="0.25">
      <c r="A24" s="1"/>
      <c r="B24" s="78" t="s">
        <v>95</v>
      </c>
      <c r="C24" s="79"/>
      <c r="D24" s="79"/>
      <c r="E24" s="79"/>
      <c r="F24" s="80"/>
      <c r="G24" s="33">
        <f>G22-G23</f>
        <v>60047</v>
      </c>
      <c r="H24" s="18" t="s">
        <v>4</v>
      </c>
      <c r="I24" s="1"/>
    </row>
    <row r="25" spans="1:9" ht="15" customHeight="1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21"/>
      <c r="C26" s="21"/>
      <c r="D26" s="21"/>
      <c r="E26" s="21"/>
      <c r="F26" s="21"/>
      <c r="G26" s="21"/>
      <c r="H26" s="21"/>
      <c r="I26" s="1"/>
    </row>
    <row r="27" spans="1:9" x14ac:dyDescent="0.25">
      <c r="A27" s="1"/>
      <c r="B27" s="98" t="s">
        <v>87</v>
      </c>
      <c r="C27" s="99"/>
      <c r="D27" s="99"/>
      <c r="E27" s="99"/>
      <c r="F27" s="99"/>
      <c r="G27" s="99"/>
      <c r="H27" s="100"/>
      <c r="I27" s="1"/>
    </row>
    <row r="28" spans="1:9" x14ac:dyDescent="0.25">
      <c r="A28" s="1"/>
      <c r="B28" s="82" t="s">
        <v>88</v>
      </c>
      <c r="C28" s="83"/>
      <c r="D28" s="83"/>
      <c r="E28" s="83"/>
      <c r="F28" s="84"/>
      <c r="G28" s="37">
        <v>2338163</v>
      </c>
      <c r="H28" s="10" t="s">
        <v>4</v>
      </c>
      <c r="I28" s="1"/>
    </row>
    <row r="29" spans="1:9" x14ac:dyDescent="0.25">
      <c r="A29" s="1"/>
      <c r="B29" s="82" t="s">
        <v>89</v>
      </c>
      <c r="C29" s="83"/>
      <c r="D29" s="83"/>
      <c r="E29" s="83"/>
      <c r="F29" s="84"/>
      <c r="G29" s="37">
        <v>1899663</v>
      </c>
      <c r="H29" s="10" t="s">
        <v>4</v>
      </c>
      <c r="I29" s="1"/>
    </row>
    <row r="30" spans="1:9" x14ac:dyDescent="0.25">
      <c r="A30" s="1"/>
      <c r="B30" s="82" t="s">
        <v>90</v>
      </c>
      <c r="C30" s="83"/>
      <c r="D30" s="83"/>
      <c r="E30" s="83"/>
      <c r="F30" s="84"/>
      <c r="G30" s="20">
        <f>'Fane 7. Gen. inv. i 2015'!F21</f>
        <v>2736679.7433333336</v>
      </c>
      <c r="H30" s="10" t="s">
        <v>4</v>
      </c>
      <c r="I30" s="1"/>
    </row>
    <row r="31" spans="1:9" x14ac:dyDescent="0.25">
      <c r="A31" s="1"/>
      <c r="B31" s="78" t="s">
        <v>87</v>
      </c>
      <c r="C31" s="79"/>
      <c r="D31" s="79"/>
      <c r="E31" s="79"/>
      <c r="F31" s="80"/>
      <c r="G31" s="33">
        <f>G30-G28+G30-G29</f>
        <v>1235533.4866666673</v>
      </c>
      <c r="H31" s="18" t="s">
        <v>4</v>
      </c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19">
    <mergeCell ref="B3:H4"/>
    <mergeCell ref="B8:H8"/>
    <mergeCell ref="B12:F12"/>
    <mergeCell ref="B11:F11"/>
    <mergeCell ref="B9:F9"/>
    <mergeCell ref="B10:F10"/>
    <mergeCell ref="B15:H15"/>
    <mergeCell ref="B16:F16"/>
    <mergeCell ref="B17:F17"/>
    <mergeCell ref="B18:F18"/>
    <mergeCell ref="B21:H21"/>
    <mergeCell ref="B29:F29"/>
    <mergeCell ref="B30:F30"/>
    <mergeCell ref="B31:F31"/>
    <mergeCell ref="B22:F22"/>
    <mergeCell ref="B23:F23"/>
    <mergeCell ref="B24:F24"/>
    <mergeCell ref="B27:H27"/>
    <mergeCell ref="B28:F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2017-10-31T13:11:23Z</dcterms:modified>
</cp:coreProperties>
</file>