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Denne_projektmappe" defaultThemeVersion="124226"/>
  <mc:AlternateContent xmlns:mc="http://schemas.openxmlformats.org/markup-compatibility/2006">
    <mc:Choice Requires="x15">
      <x15ac:absPath xmlns:x15ac="http://schemas.microsoft.com/office/spreadsheetml/2010/11/ac" url="E:\VAND\Sagsbehandling\Spildevand\Silkeborg Spildevand AS (S083)\ØR2025\"/>
    </mc:Choice>
  </mc:AlternateContent>
  <xr:revisionPtr revIDLastSave="0" documentId="13_ncr:1_{F357F16B-E9B2-43A5-AD61-3FA8A2E3D19A}"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ØR2024'!$B$8:$D$40</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<sst xmlns="http://schemas.openxmlformats.org/spreadsheetml/2006/main" count="552" uniqueCount="240">
  <si>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</si>
  <si>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</si>
  <si>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</si>
  <si>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</si>
  <si>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</si>
  <si>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</si>
  <si>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</si>
  <si>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</si>
  <si>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</si>
  <si>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</si>
  <si>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</si>
  <si>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</si>
  <si>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</si>
  <si>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</si>
  <si>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</si>
  <si>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</si>
  <si>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</si>
  <si>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</si>
  <si>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</si>
  <si>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</si>
  <si>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</si>
  <si>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</si>
  <si>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</si>
  <si>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</si>
  <si>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</si>
  <si>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</si>
  <si>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</si>
  <si>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</si>
  <si>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</si>
  <si>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</si>
  <si>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</si>
  <si>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</si>
  <si>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</si>
  <si>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</si>
  <si>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</si>
  <si>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</si>
  <si>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</si>
  <si>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</si>
  <si>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Drift</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</si>
  <si>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</si>
  <si>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</si>
  <si>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</si>
  <si>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</si>
  <si>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</si>
  <si>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</si>
  <si>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</si>
  <si>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</si>
  <si>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</si>
  <si>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</si>
  <si>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</si>
  <si>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</si>
  <si>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</si>
  <si>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</si>
  <si>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</si>
  <si>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</si>
  <si>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</si>
  <si>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</si>
  <si>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</si>
  <si>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</si>
  <si>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</si>
  <si>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</si>
  <si>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</si>
  <si>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</si>
  <si>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</si>
  <si>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</si>
  <si>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</si>
  <si>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</si>
  <si>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</si>
  <si>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</si>
  <si>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</si>
  <si>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</si>
  <si>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</si>
  <si>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</si>
  <si>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</si>
  <si>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</si>
  <si>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</si>
  <si>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</si>
  <si>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</si>
  <si>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</si>
  <si>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</si>
  <si>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</si>
  <si>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</si>
  <si>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</si>
  <si>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</si>
  <si>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</si>
  <si>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</si>
  <si>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</si>
  <si>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</si>
  <si>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</si>
  <si>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</si>
  <si>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</si>
  <si>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</si>
  <si>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</si>
  <si>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</si>
  <si>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</si>
  <si>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</si>
  <si>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</si>
  <si>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</si>
  <si>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</si>
  <si>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</si>
  <si>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</si>
  <si>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</si>
  <si>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</si>
  <si>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</si>
  <si>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</si>
  <si>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</si>
  <si>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</si>
  <si>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</si>
  <si>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</si>
  <si>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</si>
  <si>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</si>
  <si>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</si>
  <si>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</si>
  <si>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</si>
  <si>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</si>
  <si>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</si>
  <si>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</si>
  <si>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</si>
  <si>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</si>
  <si>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</si>
  <si>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</si>
  <si>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</si>
  <si>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</si>
  <si>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</si>
  <si>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</si>
  <si>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</si>
  <si>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</si>
  <si>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</si>
  <si>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</si>
  <si>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</si>
  <si>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</si>
  <si>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</si>
  <si>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</si>
  <si>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</si>
  <si>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</si>
  <si>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</si>
  <si>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</si>
  <si>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</si>
  <si>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</si>
  <si>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</si>
  <si>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</si>
  <si>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</si>
  <si>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</si>
  <si>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</si>
  <si>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</si>
  <si>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</si>
  <si>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</si>
  <si>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</si>
  <si>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</si>
  <si>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</si>
  <si>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</si>
  <si>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</si>
  <si>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</si>
  <si>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</si>
  <si>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</si>
  <si>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</si>
  <si>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</si>
  <si>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</si>
  <si>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</si>
  <si>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</si>
  <si>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</si>
  <si>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</si>
  <si>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</si>
  <si>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</si>
  <si>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</si>
  <si>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</si>
  <si>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</si>
  <si>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</si>
  <si>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</si>
  <si>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</si>
  <si>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</si>
  <si>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</si>
  <si>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</si>
  <si>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</si>
  <si>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</si>
  <si>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</si>
  <si>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</si>
  <si>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</si>
  <si>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</si>
  <si>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</si>
  <si>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</si>
  <si>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</si>
  <si>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</si>
  <si>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</si>
  <si>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</si>
  <si>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</si>
  <si>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</si>
  <si>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</si>
  <si>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</si>
  <si>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</si>
  <si>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</si>
  <si>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</si>
  <si>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</si>
  <si>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</si>
  <si>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</si>
  <si>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</si>
  <si>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</si>
  <si>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</si>
  <si>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</si>
  <si>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</si>
  <si>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</si>
  <si>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</si>
  <si>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</si>
  <si>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</si>
  <si>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</si>
  <si>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</si>
  <si>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</si>
  <si>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</si>
  <si>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</si>
  <si>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</si>
  <si>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</si>
  <si>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</si>
  <si>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</si>
  <si>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</si>
  <si>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Justering af den økonomiske ramme</t>
  </si>
  <si>
    <t>Justering af den økonomiske ramme for stigende el-omkostninger</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</si>
  <si>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</si>
  <si>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</si>
  <si>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</si>
  <si>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</si>
  <si>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</si>
  <si>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</si>
  <si>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</si>
  <si>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</si>
  <si>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</si>
  <si>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</si>
  <si>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Effektiviseringskrav (generelt og individuelt) –  Drift</t>
  </si>
  <si>
    <t>Effektiviseringskrav (generelt og individuelt) –  Anlæg</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</si>
  <si>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</si>
  <si>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</si>
  <si>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</si>
  <si>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Til statusmeddelelse for 2025</t>
  </si>
  <si>
    <t>Spildevandsafgift</t>
  </si>
  <si>
    <t>Afgift til Forsyningssekretariatet</t>
  </si>
  <si>
    <t>Ejendomsskatter</t>
  </si>
  <si>
    <t>Tjenestemandspensioner</t>
  </si>
  <si>
    <t>Gebyr til Miljøstyrelsen</t>
  </si>
  <si>
    <t>Øvrige afgifter</t>
  </si>
  <si>
    <t>udvidelser</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</si>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</sst>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4">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3" fontId="15" fillId="8" borderId="1" xfId="0"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4" xfId="0" applyFont="1" applyFill="1" applyBorder="1" applyAlignment="1" applyProtection="1">
      <alignment horizontal="lef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wrapText="1"/>
    </xf>
    <xf numFmtId="0" fontId="7" fillId="3" borderId="6"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6" t="s">
        <v>4</v>
      </c>
      <c r="D6" s="96"/>
      <c r="E6" s="96"/>
      <c r="F6" s="96"/>
      <c r="G6" s="3"/>
    </row>
    <row r="7" spans="1:7" ht="15" customHeight="1" x14ac:dyDescent="0.25">
      <c r="A7" s="1"/>
      <c r="B7" s="3"/>
      <c r="C7" s="96"/>
      <c r="D7" s="96"/>
      <c r="E7" s="96"/>
      <c r="F7" s="96"/>
      <c r="G7" s="3"/>
    </row>
    <row r="8" spans="1:7" ht="15.75" x14ac:dyDescent="0.25">
      <c r="A8" s="1"/>
      <c r="B8" s="4"/>
      <c r="C8" s="101" t="s">
        <v>231</v>
      </c>
      <c r="D8" s="101"/>
      <c r="E8" s="101"/>
      <c r="F8" s="101"/>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100" t="s">
        <v>5</v>
      </c>
      <c r="D11" s="100"/>
      <c r="E11" s="100"/>
      <c r="F11" s="100"/>
      <c r="G11" s="5"/>
    </row>
    <row r="12" spans="1:7" x14ac:dyDescent="0.25">
      <c r="A12" s="1"/>
      <c r="B12" s="1"/>
      <c r="C12" s="1"/>
      <c r="D12" s="1"/>
      <c r="E12" s="1"/>
      <c r="F12" s="1"/>
      <c r="G12" s="5"/>
    </row>
    <row r="13" spans="1:7" x14ac:dyDescent="0.25">
      <c r="A13" s="1"/>
      <c r="B13" s="6" t="s">
        <v>6</v>
      </c>
      <c r="C13" s="102" t="s">
        <v>128</v>
      </c>
      <c r="D13" s="103"/>
      <c r="E13" s="103"/>
      <c r="F13" s="104"/>
      <c r="G13" s="5"/>
    </row>
    <row r="14" spans="1:7" x14ac:dyDescent="0.25">
      <c r="A14" s="1"/>
      <c r="B14" s="6" t="s">
        <v>16</v>
      </c>
      <c r="C14" s="93" t="s">
        <v>187</v>
      </c>
      <c r="D14" s="94"/>
      <c r="E14" s="94"/>
      <c r="F14" s="95"/>
      <c r="G14" s="5"/>
    </row>
    <row r="15" spans="1:7" x14ac:dyDescent="0.25">
      <c r="A15" s="1"/>
      <c r="B15" s="6" t="s">
        <v>30</v>
      </c>
      <c r="C15" s="93" t="s">
        <v>150</v>
      </c>
      <c r="D15" s="94"/>
      <c r="E15" s="94"/>
      <c r="F15" s="95"/>
      <c r="G15" s="5"/>
    </row>
    <row r="16" spans="1:7" x14ac:dyDescent="0.25">
      <c r="A16" s="1"/>
      <c r="B16" s="6" t="s">
        <v>31</v>
      </c>
      <c r="C16" s="93" t="s">
        <v>152</v>
      </c>
      <c r="D16" s="94"/>
      <c r="E16" s="94"/>
      <c r="F16" s="95"/>
      <c r="G16" s="5"/>
    </row>
    <row r="17" spans="1:8" x14ac:dyDescent="0.25">
      <c r="A17" s="1"/>
      <c r="B17" s="6" t="s">
        <v>62</v>
      </c>
      <c r="C17" s="93" t="s">
        <v>153</v>
      </c>
      <c r="D17" s="94"/>
      <c r="E17" s="94"/>
      <c r="F17" s="95"/>
      <c r="G17" s="5"/>
    </row>
    <row r="18" spans="1:8" x14ac:dyDescent="0.25">
      <c r="A18" s="1"/>
      <c r="B18" s="6" t="s">
        <v>54</v>
      </c>
      <c r="C18" s="90" t="s">
        <v>46</v>
      </c>
      <c r="D18" s="91"/>
      <c r="E18" s="91"/>
      <c r="F18" s="92"/>
      <c r="G18" s="5"/>
    </row>
    <row r="19" spans="1:8" x14ac:dyDescent="0.25">
      <c r="A19" s="1"/>
      <c r="B19" s="6" t="s">
        <v>55</v>
      </c>
      <c r="C19" s="90" t="s">
        <v>47</v>
      </c>
      <c r="D19" s="91"/>
      <c r="E19" s="91"/>
      <c r="F19" s="92"/>
      <c r="G19" s="5"/>
    </row>
    <row r="20" spans="1:8" x14ac:dyDescent="0.25">
      <c r="A20" s="1"/>
      <c r="B20" s="6" t="s">
        <v>7</v>
      </c>
      <c r="C20" s="90" t="s">
        <v>10</v>
      </c>
      <c r="D20" s="91"/>
      <c r="E20" s="91"/>
      <c r="F20" s="92"/>
      <c r="G20" s="5"/>
    </row>
    <row r="21" spans="1:8" x14ac:dyDescent="0.25">
      <c r="A21" s="1"/>
      <c r="B21" s="6" t="s">
        <v>56</v>
      </c>
      <c r="C21" s="97" t="s">
        <v>12</v>
      </c>
      <c r="D21" s="98"/>
      <c r="E21" s="98"/>
      <c r="F21" s="99"/>
      <c r="G21" s="5"/>
    </row>
    <row r="22" spans="1:8" x14ac:dyDescent="0.25">
      <c r="A22" s="1"/>
      <c r="B22" s="6" t="s">
        <v>40</v>
      </c>
      <c r="C22" s="84" t="s">
        <v>154</v>
      </c>
      <c r="D22" s="85"/>
      <c r="E22" s="85"/>
      <c r="F22" s="86"/>
      <c r="G22" s="5"/>
    </row>
    <row r="23" spans="1:8" x14ac:dyDescent="0.25">
      <c r="A23" s="1"/>
      <c r="B23" s="6" t="s">
        <v>8</v>
      </c>
      <c r="C23" s="84" t="s">
        <v>113</v>
      </c>
      <c r="D23" s="85"/>
      <c r="E23" s="85"/>
      <c r="F23" s="86"/>
      <c r="G23" s="5"/>
    </row>
    <row r="24" spans="1:8" x14ac:dyDescent="0.25">
      <c r="A24" s="1"/>
      <c r="B24" s="6" t="s">
        <v>9</v>
      </c>
      <c r="C24" s="84" t="s">
        <v>155</v>
      </c>
      <c r="D24" s="85"/>
      <c r="E24" s="85"/>
      <c r="F24" s="86"/>
      <c r="G24" s="5"/>
    </row>
    <row r="25" spans="1:8" x14ac:dyDescent="0.25">
      <c r="A25" s="1"/>
      <c r="B25" s="6" t="s">
        <v>98</v>
      </c>
      <c r="C25" s="84" t="s">
        <v>92</v>
      </c>
      <c r="D25" s="85"/>
      <c r="E25" s="85"/>
      <c r="F25" s="86"/>
      <c r="G25" s="1"/>
    </row>
    <row r="26" spans="1:8" x14ac:dyDescent="0.25">
      <c r="A26" s="1"/>
      <c r="B26" s="6" t="s">
        <v>99</v>
      </c>
      <c r="C26" s="84" t="s">
        <v>41</v>
      </c>
      <c r="D26" s="85"/>
      <c r="E26" s="85"/>
      <c r="F26" s="86"/>
      <c r="G26" s="1"/>
    </row>
    <row r="27" spans="1:8" x14ac:dyDescent="0.25">
      <c r="A27" s="1"/>
      <c r="B27" s="6" t="s">
        <v>100</v>
      </c>
      <c r="C27" s="84" t="s">
        <v>42</v>
      </c>
      <c r="D27" s="85"/>
      <c r="E27" s="85"/>
      <c r="F27" s="86"/>
      <c r="G27" s="1"/>
    </row>
    <row r="28" spans="1:8" x14ac:dyDescent="0.25">
      <c r="A28" s="1"/>
      <c r="B28" s="6" t="s">
        <v>15</v>
      </c>
      <c r="C28" s="84" t="s">
        <v>43</v>
      </c>
      <c r="D28" s="85"/>
      <c r="E28" s="85"/>
      <c r="F28" s="86"/>
      <c r="G28" s="1"/>
      <c r="H28" s="2" t="s">
        <v>151</v>
      </c>
    </row>
    <row r="29" spans="1:8" x14ac:dyDescent="0.25">
      <c r="A29" s="1"/>
      <c r="B29" s="6" t="s">
        <v>33</v>
      </c>
      <c r="C29" s="84" t="s">
        <v>69</v>
      </c>
      <c r="D29" s="85"/>
      <c r="E29" s="85"/>
      <c r="F29" s="86"/>
      <c r="G29" s="1"/>
    </row>
    <row r="30" spans="1:8" x14ac:dyDescent="0.25">
      <c r="A30" s="1"/>
      <c r="B30" s="6" t="s">
        <v>34</v>
      </c>
      <c r="C30" s="84" t="s">
        <v>32</v>
      </c>
      <c r="D30" s="85"/>
      <c r="E30" s="85"/>
      <c r="F30" s="86"/>
      <c r="G30" s="1"/>
    </row>
    <row r="31" spans="1:8" x14ac:dyDescent="0.25">
      <c r="A31" s="1"/>
      <c r="B31" s="6" t="s">
        <v>101</v>
      </c>
      <c r="C31" s="87" t="s">
        <v>53</v>
      </c>
      <c r="D31" s="88"/>
      <c r="E31" s="88"/>
      <c r="F31" s="89"/>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pEx0QqtnxM8r8a890byUfWyNVL1eoYKFFULyQsdTJYSJhaFl0XKvMRSrrgeHbluUcjhtM84TkgFaNmqM5KqVQ==" saltValue="4xjGYkua88iw0aWV/Vgd1g=="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156</v>
      </c>
      <c r="C3" s="105"/>
      <c r="D3" s="105"/>
      <c r="E3" s="1"/>
    </row>
    <row r="4" spans="1:5" ht="15" customHeight="1" x14ac:dyDescent="0.25">
      <c r="A4" s="1"/>
      <c r="B4" s="105"/>
      <c r="C4" s="105"/>
      <c r="D4" s="10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91</v>
      </c>
      <c r="C9" s="7">
        <f>'Fane 3. Omkostninger i ØR2024'!C20</f>
        <v>153812866.71802458</v>
      </c>
      <c r="D9" s="8" t="s">
        <v>3</v>
      </c>
      <c r="E9" s="1"/>
    </row>
    <row r="10" spans="1:5" ht="17.25" customHeight="1" x14ac:dyDescent="0.25">
      <c r="A10" s="1"/>
      <c r="B10" s="65" t="s">
        <v>35</v>
      </c>
      <c r="C10" s="7">
        <f>'Fane 11.1. Varige tillæg'!C20</f>
        <v>1035672.6651</v>
      </c>
      <c r="D10" s="8" t="s">
        <v>3</v>
      </c>
      <c r="E10" s="1"/>
    </row>
    <row r="11" spans="1:5" ht="17.25" customHeight="1" x14ac:dyDescent="0.25">
      <c r="A11" s="1"/>
      <c r="B11" s="65" t="s">
        <v>36</v>
      </c>
      <c r="C11" s="9">
        <f>'Fane 11.1. Varige tillæg'!E20</f>
        <v>957926.59950000001</v>
      </c>
      <c r="D11" s="8" t="s">
        <v>3</v>
      </c>
      <c r="E11" s="1"/>
    </row>
    <row r="12" spans="1:5" ht="17.25" customHeight="1" x14ac:dyDescent="0.25">
      <c r="A12" s="1"/>
      <c r="B12" s="65" t="s">
        <v>25</v>
      </c>
      <c r="C12" s="9">
        <f>-'Fane 14. Bortfald'!C12</f>
        <v>0</v>
      </c>
      <c r="D12" s="8" t="s">
        <v>3</v>
      </c>
      <c r="E12" s="1"/>
    </row>
    <row r="13" spans="1:5" ht="17.25" customHeight="1" x14ac:dyDescent="0.25">
      <c r="A13" s="1"/>
      <c r="B13" s="65" t="s">
        <v>24</v>
      </c>
      <c r="C13" s="9">
        <f>-'Fane 14. Bortfald'!E12</f>
        <v>0</v>
      </c>
      <c r="D13" s="8" t="s">
        <v>3</v>
      </c>
      <c r="E13" s="1"/>
    </row>
    <row r="14" spans="1:5" ht="17.25" customHeight="1" x14ac:dyDescent="0.25">
      <c r="A14" s="1"/>
      <c r="B14" s="65" t="s">
        <v>63</v>
      </c>
      <c r="C14" s="9">
        <f>'Fane 13. Tilknyttet virksomhed'!C12</f>
        <v>0</v>
      </c>
      <c r="D14" s="8" t="s">
        <v>3</v>
      </c>
      <c r="E14" s="1"/>
    </row>
    <row r="15" spans="1:5" ht="17.25" customHeight="1" x14ac:dyDescent="0.25">
      <c r="A15" s="1"/>
      <c r="B15" s="65" t="s">
        <v>64</v>
      </c>
      <c r="C15" s="9">
        <f>'Fane 13. Tilknyttet virksomhed'!E12</f>
        <v>0</v>
      </c>
      <c r="D15" s="8" t="s">
        <v>3</v>
      </c>
      <c r="E15" s="1"/>
    </row>
    <row r="16" spans="1:5" ht="17.25" customHeight="1" x14ac:dyDescent="0.25">
      <c r="A16" s="1"/>
      <c r="B16" s="65" t="s">
        <v>19</v>
      </c>
      <c r="C16" s="38">
        <f>SUM(C9)*'Fane 15. Nøgletal'!C9+SUM(C10:C11,C14:C15)*'Fane 15. Nøgletal'!C10</f>
        <v>12560255.262059364</v>
      </c>
      <c r="D16" s="8" t="s">
        <v>3</v>
      </c>
      <c r="E16" s="1"/>
    </row>
    <row r="17" spans="1:5" ht="17.25" customHeight="1" x14ac:dyDescent="0.25">
      <c r="A17" s="1"/>
      <c r="B17" s="65" t="s">
        <v>10</v>
      </c>
      <c r="C17" s="38">
        <f>-SUM(C9,C10:C16)*'Fane 5. Individuelt eff. krav'!C9</f>
        <v>0</v>
      </c>
      <c r="D17" s="8" t="s">
        <v>3</v>
      </c>
      <c r="E17" s="1"/>
    </row>
    <row r="18" spans="1:5" ht="17.25" customHeight="1" x14ac:dyDescent="0.25">
      <c r="A18" s="1"/>
      <c r="B18" s="65" t="s">
        <v>22</v>
      </c>
      <c r="C18" s="38">
        <f>-'Fane 4.1. Gen. krav - drift'!C17</f>
        <v>-1088235.9050442262</v>
      </c>
      <c r="D18" s="8" t="s">
        <v>3</v>
      </c>
      <c r="E18" s="1"/>
    </row>
    <row r="19" spans="1:5" ht="17.25" customHeight="1" x14ac:dyDescent="0.25">
      <c r="A19" s="1"/>
      <c r="B19" s="65" t="s">
        <v>23</v>
      </c>
      <c r="C19" s="38">
        <f>-'Fane 4.2. Gen. krav - anlæg'!C17</f>
        <v>0</v>
      </c>
      <c r="D19" s="8" t="s">
        <v>3</v>
      </c>
      <c r="E19" s="43"/>
    </row>
    <row r="20" spans="1:5" ht="17.25" customHeight="1" x14ac:dyDescent="0.25">
      <c r="A20" s="1"/>
      <c r="B20" s="83" t="s">
        <v>21</v>
      </c>
      <c r="C20" s="10">
        <f>SUM(C9:C19)</f>
        <v>167278485.33963972</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7804980.29668481</v>
      </c>
      <c r="D22" s="11" t="s">
        <v>3</v>
      </c>
      <c r="E22" s="1"/>
    </row>
    <row r="23" spans="1:5" ht="15" customHeight="1" x14ac:dyDescent="0.25">
      <c r="A23" s="1"/>
      <c r="B23" s="33" t="s">
        <v>43</v>
      </c>
      <c r="C23" s="28"/>
      <c r="D23" s="19"/>
      <c r="E23" s="1"/>
    </row>
    <row r="24" spans="1:5" ht="15" customHeight="1" x14ac:dyDescent="0.25">
      <c r="A24" s="1"/>
      <c r="B24" s="83" t="s">
        <v>43</v>
      </c>
      <c r="C24" s="10">
        <f>'Fane 12. Periodevise driftsomk.'!C12</f>
        <v>0</v>
      </c>
      <c r="D24" s="11" t="s">
        <v>3</v>
      </c>
      <c r="E24" s="1"/>
    </row>
    <row r="25" spans="1:5" ht="15" customHeight="1" x14ac:dyDescent="0.25">
      <c r="A25" s="1"/>
      <c r="B25" s="41" t="s">
        <v>42</v>
      </c>
      <c r="C25" s="39"/>
      <c r="D25" s="40"/>
      <c r="E25" s="1"/>
    </row>
    <row r="26" spans="1:5" ht="15" customHeight="1" x14ac:dyDescent="0.25">
      <c r="A26" s="1"/>
      <c r="B26" s="65" t="s">
        <v>90</v>
      </c>
      <c r="C26" s="38">
        <f>'Fane 11.2. Engangstillæg'!C14</f>
        <v>0</v>
      </c>
      <c r="D26" s="8" t="s">
        <v>3</v>
      </c>
      <c r="E26" s="1"/>
    </row>
    <row r="27" spans="1:5" ht="15" customHeight="1" x14ac:dyDescent="0.25">
      <c r="A27" s="1"/>
      <c r="B27" s="65" t="s">
        <v>39</v>
      </c>
      <c r="C27" s="38">
        <f>'Fane 11.2. Engangstillæg'!E14</f>
        <v>0</v>
      </c>
      <c r="D27" s="8" t="s">
        <v>3</v>
      </c>
      <c r="E27" s="1"/>
    </row>
    <row r="28" spans="1:5" ht="15" customHeight="1" x14ac:dyDescent="0.25">
      <c r="A28" s="1"/>
      <c r="B28" s="65" t="s">
        <v>93</v>
      </c>
      <c r="C28" s="38">
        <f>-C26*('Fane 15. Nøgletal'!C21+'Fane 5. Individuelt eff. krav'!C9)</f>
        <v>0</v>
      </c>
      <c r="D28" s="8" t="s">
        <v>3</v>
      </c>
      <c r="E28" s="1"/>
    </row>
    <row r="29" spans="1:5" ht="15" customHeight="1" x14ac:dyDescent="0.25">
      <c r="A29" s="1"/>
      <c r="B29" s="65" t="s">
        <v>94</v>
      </c>
      <c r="C29" s="38">
        <f>-C27*('Fane 15. Nøgletal'!C16+'Fane 5. Individuelt eff. krav'!C9)</f>
        <v>0</v>
      </c>
      <c r="D29" s="8" t="s">
        <v>3</v>
      </c>
      <c r="E29" s="1"/>
    </row>
    <row r="30" spans="1:5" ht="15" customHeight="1" x14ac:dyDescent="0.25">
      <c r="A30" s="1"/>
      <c r="B30" s="68" t="s">
        <v>44</v>
      </c>
      <c r="C30" s="10">
        <f>SUM(C26:C29)</f>
        <v>0</v>
      </c>
      <c r="D30" s="11" t="s">
        <v>3</v>
      </c>
      <c r="E30" s="1"/>
    </row>
    <row r="31" spans="1:5" x14ac:dyDescent="0.25">
      <c r="A31" s="1"/>
      <c r="B31" s="33" t="s">
        <v>70</v>
      </c>
      <c r="C31" s="28"/>
      <c r="D31" s="19"/>
      <c r="E31" s="1"/>
    </row>
    <row r="32" spans="1:5" x14ac:dyDescent="0.25">
      <c r="A32" s="1"/>
      <c r="B32" s="31" t="s">
        <v>80</v>
      </c>
      <c r="C32" s="62">
        <f>'Fane 7. Kontrol af ØR2023'!C27</f>
        <v>-15930295.767255664</v>
      </c>
      <c r="D32" s="11" t="s">
        <v>3</v>
      </c>
      <c r="E32" s="1"/>
    </row>
    <row r="33" spans="1:5" ht="15" customHeight="1" x14ac:dyDescent="0.25">
      <c r="A33" s="1"/>
      <c r="B33" s="33" t="s">
        <v>155</v>
      </c>
      <c r="C33" s="28"/>
      <c r="D33" s="19"/>
      <c r="E33" s="1"/>
    </row>
    <row r="34" spans="1:5" x14ac:dyDescent="0.25">
      <c r="A34" s="1"/>
      <c r="B34" s="31" t="s">
        <v>155</v>
      </c>
      <c r="C34" s="10">
        <f>'Fane 9. Korrektion af ØR2023'!C16</f>
        <v>0</v>
      </c>
      <c r="D34" s="11" t="s">
        <v>3</v>
      </c>
      <c r="E34" s="1"/>
    </row>
    <row r="35" spans="1:5" x14ac:dyDescent="0.25">
      <c r="A35" s="1"/>
      <c r="B35" s="30" t="s">
        <v>76</v>
      </c>
      <c r="C35" s="28"/>
      <c r="D35" s="19"/>
      <c r="E35" s="1"/>
    </row>
    <row r="36" spans="1:5" x14ac:dyDescent="0.25">
      <c r="A36" s="1"/>
      <c r="B36" s="68" t="s">
        <v>77</v>
      </c>
      <c r="C36" s="10">
        <f>'Fane 8. Skattesagen'!C14</f>
        <v>0</v>
      </c>
      <c r="D36" s="11" t="s">
        <v>3</v>
      </c>
      <c r="E36" s="1"/>
    </row>
    <row r="37" spans="1:5" x14ac:dyDescent="0.25">
      <c r="A37" s="1"/>
      <c r="B37" s="33" t="s">
        <v>72</v>
      </c>
      <c r="C37" s="45">
        <f>SUM(C34,C32,C24,C30,C22,C20,C36)</f>
        <v>159153169.86906886</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FJ0xyq6XS7KtBvTfaTnL0Hv/v0hj9X6MZANsArXtHZo3R51oSvTEq+VL4/cgHUj8jEUMp/T6N+YcMRNJtoYgvQ==" saltValue="gH7D+p0wfZByxgtiTx5ZQ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157</v>
      </c>
      <c r="C3" s="105"/>
      <c r="D3" s="105"/>
      <c r="E3" s="1"/>
    </row>
    <row r="4" spans="1:5" ht="15" customHeight="1" x14ac:dyDescent="0.25">
      <c r="A4" s="1"/>
      <c r="B4" s="105"/>
      <c r="C4" s="105"/>
      <c r="D4" s="105"/>
      <c r="E4" s="1"/>
    </row>
    <row r="5" spans="1:5" x14ac:dyDescent="0.25">
      <c r="A5" s="1"/>
      <c r="B5" s="106" t="s">
        <v>145</v>
      </c>
      <c r="C5" s="106"/>
      <c r="D5" s="106"/>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81</v>
      </c>
      <c r="C9" s="7">
        <f>'Fane 2.1. Økonomisk ramme 2025'!C20</f>
        <v>167278485.33963972</v>
      </c>
      <c r="D9" s="8" t="s">
        <v>3</v>
      </c>
      <c r="E9" s="1"/>
    </row>
    <row r="10" spans="1:5" ht="15" customHeight="1" x14ac:dyDescent="0.25">
      <c r="A10" s="1"/>
      <c r="B10" s="26" t="s">
        <v>19</v>
      </c>
      <c r="C10" s="7">
        <f>C9*'Fane 15. Nøgletal'!C10</f>
        <v>11090563.578018114</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-1137178.226637685</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177231870.69102016</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3998968.664955013</v>
      </c>
      <c r="D16" s="11" t="s">
        <v>3</v>
      </c>
      <c r="E16" s="1"/>
    </row>
    <row r="17" spans="1:5" ht="15" customHeight="1" x14ac:dyDescent="0.25">
      <c r="A17" s="1"/>
      <c r="B17" s="33" t="s">
        <v>43</v>
      </c>
      <c r="C17" s="28"/>
      <c r="D17" s="19"/>
      <c r="E17" s="1"/>
    </row>
    <row r="18" spans="1:5" ht="15" customHeight="1" x14ac:dyDescent="0.25">
      <c r="A18" s="1"/>
      <c r="B18" s="83" t="s">
        <v>43</v>
      </c>
      <c r="C18" s="10">
        <f>'Fane 12. Periodevise driftsomk.'!C18</f>
        <v>0</v>
      </c>
      <c r="D18" s="11" t="s">
        <v>3</v>
      </c>
      <c r="E18" s="1"/>
    </row>
    <row r="19" spans="1:5" x14ac:dyDescent="0.25">
      <c r="A19" s="1"/>
      <c r="B19" s="33" t="s">
        <v>70</v>
      </c>
      <c r="C19" s="28"/>
      <c r="D19" s="19"/>
      <c r="E19" s="1"/>
    </row>
    <row r="20" spans="1:5" ht="15" customHeight="1" x14ac:dyDescent="0.25">
      <c r="A20" s="1"/>
      <c r="B20" s="31" t="s">
        <v>80</v>
      </c>
      <c r="C20" s="10">
        <f>'Fane 7. Kontrol af ØR2023'!C33</f>
        <v>-395155.91334143281</v>
      </c>
      <c r="D20" s="11" t="s">
        <v>3</v>
      </c>
      <c r="E20" s="1"/>
    </row>
    <row r="21" spans="1:5" x14ac:dyDescent="0.25">
      <c r="A21" s="1"/>
      <c r="B21" s="30" t="s">
        <v>76</v>
      </c>
      <c r="C21" s="28"/>
      <c r="D21" s="19"/>
      <c r="E21" s="1"/>
    </row>
    <row r="22" spans="1:5" x14ac:dyDescent="0.25">
      <c r="A22" s="1"/>
      <c r="B22" s="68" t="s">
        <v>77</v>
      </c>
      <c r="C22" s="10">
        <f>'Fane 8. Skattesagen'!C15</f>
        <v>0</v>
      </c>
      <c r="D22" s="11" t="s">
        <v>3</v>
      </c>
      <c r="E22" s="1"/>
    </row>
    <row r="23" spans="1:5" x14ac:dyDescent="0.25">
      <c r="A23" s="1"/>
      <c r="B23" s="33" t="s">
        <v>82</v>
      </c>
      <c r="C23" s="12">
        <f>SUM(C14,C16,C18,C20,C22)</f>
        <v>180835683.44263375</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uR9BrRkJldk7NtpNLDTuFRJdunrMdGkyIGStwLZEwINnNuonYPh4F7DDJ12jtawBt30ykZbsxmrsSZ9W5rBkew==" saltValue="ENvpooGQvnaVcLuAAQWnu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158</v>
      </c>
      <c r="C3" s="105"/>
      <c r="D3" s="105"/>
      <c r="E3" s="1"/>
    </row>
    <row r="4" spans="1:5" ht="15" customHeight="1" x14ac:dyDescent="0.25">
      <c r="A4" s="1"/>
      <c r="B4" s="105"/>
      <c r="C4" s="105"/>
      <c r="D4" s="105"/>
      <c r="E4" s="1"/>
    </row>
    <row r="5" spans="1:5" x14ac:dyDescent="0.25">
      <c r="A5" s="1"/>
      <c r="B5" s="106" t="s">
        <v>145</v>
      </c>
      <c r="C5" s="106"/>
      <c r="D5" s="106"/>
      <c r="E5" s="1"/>
    </row>
    <row r="6" spans="1:5" x14ac:dyDescent="0.25">
      <c r="A6" s="1"/>
      <c r="B6" s="75"/>
      <c r="C6" s="75"/>
      <c r="D6" s="75"/>
      <c r="E6" s="1"/>
    </row>
    <row r="7" spans="1:5" x14ac:dyDescent="0.25">
      <c r="A7" s="1"/>
      <c r="B7" s="1"/>
      <c r="C7" s="1"/>
      <c r="D7" s="1"/>
      <c r="E7" s="1"/>
    </row>
    <row r="8" spans="1:5" x14ac:dyDescent="0.25">
      <c r="A8" s="1"/>
      <c r="B8" s="33" t="s">
        <v>13</v>
      </c>
      <c r="C8" s="28"/>
      <c r="D8" s="19"/>
      <c r="E8" s="1"/>
    </row>
    <row r="9" spans="1:5" ht="15" customHeight="1" x14ac:dyDescent="0.25">
      <c r="A9" s="1"/>
      <c r="B9" s="29" t="s">
        <v>130</v>
      </c>
      <c r="C9" s="7">
        <f>'Fane 2.2. Økonomisk ramme 2026'!C14</f>
        <v>177231870.69102016</v>
      </c>
      <c r="D9" s="8" t="s">
        <v>3</v>
      </c>
      <c r="E9" s="1"/>
    </row>
    <row r="10" spans="1:5" ht="15" customHeight="1" x14ac:dyDescent="0.25">
      <c r="A10" s="1"/>
      <c r="B10" s="26" t="s">
        <v>19</v>
      </c>
      <c r="C10" s="7">
        <f>SUM(C9:C9)*'Fane 15. Nøgletal'!C10</f>
        <v>11750473.026814636</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-1188321.6802024883</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187794022.03763232</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4264100.2874415303</v>
      </c>
      <c r="D16" s="11" t="s">
        <v>3</v>
      </c>
      <c r="E16" s="1"/>
    </row>
    <row r="17" spans="1:5" ht="15" customHeight="1" x14ac:dyDescent="0.25">
      <c r="A17" s="1"/>
      <c r="B17" s="33" t="s">
        <v>43</v>
      </c>
      <c r="C17" s="28"/>
      <c r="D17" s="19"/>
      <c r="E17" s="1"/>
    </row>
    <row r="18" spans="1:5" ht="15" customHeight="1" x14ac:dyDescent="0.25">
      <c r="A18" s="1"/>
      <c r="B18" s="83" t="s">
        <v>43</v>
      </c>
      <c r="C18" s="10">
        <f>'Fane 12. Periodevise driftsomk.'!C24</f>
        <v>0</v>
      </c>
      <c r="D18" s="11" t="s">
        <v>3</v>
      </c>
      <c r="E18" s="1"/>
    </row>
    <row r="19" spans="1:5" ht="15" customHeight="1" x14ac:dyDescent="0.25">
      <c r="A19" s="1"/>
      <c r="B19" s="33" t="s">
        <v>70</v>
      </c>
      <c r="C19" s="28"/>
      <c r="D19" s="19"/>
      <c r="E19" s="1"/>
    </row>
    <row r="20" spans="1:5" ht="15" customHeight="1" x14ac:dyDescent="0.25">
      <c r="A20" s="1"/>
      <c r="B20" s="31" t="s">
        <v>80</v>
      </c>
      <c r="C20" s="10">
        <f>'Fane 7. Kontrol af ØR2023'!C33</f>
        <v>-395155.91334143281</v>
      </c>
      <c r="D20" s="11" t="s">
        <v>3</v>
      </c>
      <c r="E20" s="1"/>
    </row>
    <row r="21" spans="1:5" x14ac:dyDescent="0.25">
      <c r="A21" s="1"/>
      <c r="B21" s="30" t="s">
        <v>76</v>
      </c>
      <c r="C21" s="28"/>
      <c r="D21" s="19"/>
      <c r="E21" s="1"/>
    </row>
    <row r="22" spans="1:5" x14ac:dyDescent="0.25">
      <c r="A22" s="1"/>
      <c r="B22" s="68" t="s">
        <v>77</v>
      </c>
      <c r="C22" s="10">
        <f>'Fane 8. Skattesagen'!C16</f>
        <v>0</v>
      </c>
      <c r="D22" s="11" t="s">
        <v>3</v>
      </c>
      <c r="E22" s="1"/>
    </row>
    <row r="23" spans="1:5" x14ac:dyDescent="0.25">
      <c r="A23" s="1"/>
      <c r="B23" s="33" t="s">
        <v>131</v>
      </c>
      <c r="C23" s="12">
        <f>SUM(C14,C16,C18,C20,C22)</f>
        <v>191662966.41173241</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8XVYubJEI0nTKefknAT2H669bwoFB+2L5eHZGO+dXlLousHg3spJJrjoxE2KKP1DYo240G3xjaU4ddMsP8kvPQ==" saltValue="jXv1oeBKsDXyOECOImiRgQ=="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159</v>
      </c>
      <c r="C3" s="105"/>
      <c r="D3" s="105"/>
      <c r="E3" s="1"/>
    </row>
    <row r="4" spans="1:5" ht="15" customHeight="1" x14ac:dyDescent="0.25">
      <c r="A4" s="1"/>
      <c r="B4" s="105"/>
      <c r="C4" s="105"/>
      <c r="D4" s="105"/>
      <c r="E4" s="1"/>
    </row>
    <row r="5" spans="1:5" x14ac:dyDescent="0.25">
      <c r="A5" s="1"/>
      <c r="B5" s="106" t="s">
        <v>145</v>
      </c>
      <c r="C5" s="106"/>
      <c r="D5" s="106"/>
      <c r="E5" s="1"/>
    </row>
    <row r="6" spans="1:5" x14ac:dyDescent="0.25">
      <c r="A6" s="1"/>
      <c r="B6" s="75"/>
      <c r="C6" s="75"/>
      <c r="D6" s="75"/>
      <c r="E6" s="1"/>
    </row>
    <row r="7" spans="1:5" x14ac:dyDescent="0.25">
      <c r="A7" s="1"/>
      <c r="B7" s="1"/>
      <c r="C7" s="1"/>
      <c r="D7" s="1"/>
      <c r="E7" s="1"/>
    </row>
    <row r="8" spans="1:5" x14ac:dyDescent="0.25">
      <c r="A8" s="1"/>
      <c r="B8" s="33" t="s">
        <v>13</v>
      </c>
      <c r="C8" s="28"/>
      <c r="D8" s="19"/>
      <c r="E8" s="1"/>
    </row>
    <row r="9" spans="1:5" ht="15" customHeight="1" x14ac:dyDescent="0.25">
      <c r="A9" s="1"/>
      <c r="B9" s="29" t="s">
        <v>160</v>
      </c>
      <c r="C9" s="7">
        <f>'Fane 2.3. Økonomisk ramme 2027'!C14</f>
        <v>187794022.03763232</v>
      </c>
      <c r="D9" s="8" t="s">
        <v>3</v>
      </c>
      <c r="E9" s="1"/>
    </row>
    <row r="10" spans="1:5" ht="15" customHeight="1" x14ac:dyDescent="0.25">
      <c r="A10" s="1"/>
      <c r="B10" s="26" t="s">
        <v>19</v>
      </c>
      <c r="C10" s="7">
        <f>SUM(C9:C9)*'Fane 15. Nøgletal'!C10</f>
        <v>12450743.661095021</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-1241765.259447915</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199003000.43927944</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4546810.1364989039</v>
      </c>
      <c r="D16" s="11" t="s">
        <v>3</v>
      </c>
      <c r="E16" s="1"/>
    </row>
    <row r="17" spans="1:5" ht="15" customHeight="1" x14ac:dyDescent="0.25">
      <c r="A17" s="1"/>
      <c r="B17" s="33" t="s">
        <v>43</v>
      </c>
      <c r="C17" s="28"/>
      <c r="D17" s="19"/>
      <c r="E17" s="1"/>
    </row>
    <row r="18" spans="1:5" ht="15" customHeight="1" x14ac:dyDescent="0.25">
      <c r="A18" s="1"/>
      <c r="B18" s="83" t="s">
        <v>43</v>
      </c>
      <c r="C18" s="10">
        <f>'Fane 12. Periodevise driftsomk.'!C30</f>
        <v>0</v>
      </c>
      <c r="D18" s="11" t="s">
        <v>3</v>
      </c>
      <c r="E18" s="1"/>
    </row>
    <row r="19" spans="1:5" x14ac:dyDescent="0.25">
      <c r="A19" s="1"/>
      <c r="B19" s="30" t="s">
        <v>76</v>
      </c>
      <c r="C19" s="28"/>
      <c r="D19" s="19"/>
      <c r="E19" s="1"/>
    </row>
    <row r="20" spans="1:5" x14ac:dyDescent="0.25">
      <c r="A20" s="1"/>
      <c r="B20" s="68" t="s">
        <v>77</v>
      </c>
      <c r="C20" s="10">
        <f>'Fane 8. Skattesagen'!C17</f>
        <v>0</v>
      </c>
      <c r="D20" s="11" t="s">
        <v>3</v>
      </c>
      <c r="E20" s="1"/>
    </row>
    <row r="21" spans="1:5" x14ac:dyDescent="0.25">
      <c r="A21" s="1"/>
      <c r="B21" s="33" t="s">
        <v>161</v>
      </c>
      <c r="C21" s="12">
        <f>SUM(C14,C16,C18,C20)</f>
        <v>203549810.57577834</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LJQ9YWK0YYTOSvaAElB0LiPLSqExdHAiGRfNXEw4aDOgCUYgkLfP5uXyHXz0lky6hoDClrYEwvZsOmqEbIkVWA==" saltValue="cvyNS5c8o34HD4gJsBl1H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11" t="s">
        <v>162</v>
      </c>
      <c r="C3" s="111"/>
      <c r="D3" s="111"/>
      <c r="E3" s="1"/>
    </row>
    <row r="4" spans="1:5" ht="15" customHeight="1" x14ac:dyDescent="0.25">
      <c r="A4" s="1"/>
      <c r="B4" s="111"/>
      <c r="C4" s="111"/>
      <c r="D4" s="111"/>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163</v>
      </c>
      <c r="C8" s="28"/>
      <c r="D8" s="19"/>
      <c r="E8" s="1"/>
    </row>
    <row r="9" spans="1:5" ht="15" customHeight="1" x14ac:dyDescent="0.25">
      <c r="A9" s="1"/>
      <c r="B9" s="29" t="s">
        <v>65</v>
      </c>
      <c r="C9" s="7">
        <v>140370973.78947711</v>
      </c>
      <c r="D9" s="8" t="s">
        <v>3</v>
      </c>
      <c r="E9" s="1"/>
    </row>
    <row r="10" spans="1:5" ht="15" customHeight="1" x14ac:dyDescent="0.25">
      <c r="A10" s="1"/>
      <c r="B10" s="65" t="s">
        <v>35</v>
      </c>
      <c r="C10" s="63">
        <v>2110396.8838399998</v>
      </c>
      <c r="D10" s="8" t="s">
        <v>3</v>
      </c>
      <c r="E10" s="1"/>
    </row>
    <row r="11" spans="1:5" ht="15" customHeight="1" x14ac:dyDescent="0.25">
      <c r="A11" s="1"/>
      <c r="B11" s="65" t="s">
        <v>36</v>
      </c>
      <c r="C11" s="63">
        <v>763857.56160000002</v>
      </c>
      <c r="D11" s="8" t="s">
        <v>3</v>
      </c>
      <c r="E11" s="1"/>
    </row>
    <row r="12" spans="1:5" ht="15" customHeight="1" x14ac:dyDescent="0.25">
      <c r="A12" s="1"/>
      <c r="B12" s="65" t="s">
        <v>25</v>
      </c>
      <c r="C12" s="9">
        <v>0</v>
      </c>
      <c r="D12" s="8" t="s">
        <v>3</v>
      </c>
      <c r="E12" s="1"/>
    </row>
    <row r="13" spans="1:5" ht="15" customHeight="1" x14ac:dyDescent="0.25">
      <c r="A13" s="1"/>
      <c r="B13" s="65" t="s">
        <v>24</v>
      </c>
      <c r="C13" s="9">
        <v>0</v>
      </c>
      <c r="D13" s="8" t="s">
        <v>3</v>
      </c>
      <c r="E13" s="1"/>
    </row>
    <row r="14" spans="1:5" ht="15" customHeight="1" x14ac:dyDescent="0.25">
      <c r="A14" s="1"/>
      <c r="B14" s="65" t="s">
        <v>63</v>
      </c>
      <c r="C14" s="9">
        <v>0</v>
      </c>
      <c r="D14" s="8" t="s">
        <v>3</v>
      </c>
      <c r="E14" s="1"/>
    </row>
    <row r="15" spans="1:5" ht="15" customHeight="1" x14ac:dyDescent="0.25">
      <c r="A15" s="1"/>
      <c r="B15" s="65" t="s">
        <v>64</v>
      </c>
      <c r="C15" s="9">
        <v>0</v>
      </c>
      <c r="D15" s="8" t="s">
        <v>3</v>
      </c>
      <c r="E15" s="1"/>
    </row>
    <row r="16" spans="1:5" ht="15" customHeight="1" x14ac:dyDescent="0.25">
      <c r="A16" s="1"/>
      <c r="B16" s="65" t="s">
        <v>19</v>
      </c>
      <c r="C16" s="9">
        <v>11574214.441381302</v>
      </c>
      <c r="D16" s="8" t="s">
        <v>3</v>
      </c>
      <c r="E16" s="1"/>
    </row>
    <row r="17" spans="1:5" ht="15" customHeight="1" x14ac:dyDescent="0.25">
      <c r="A17" s="1"/>
      <c r="B17" s="65" t="s">
        <v>10</v>
      </c>
      <c r="C17" s="9">
        <v>0</v>
      </c>
      <c r="D17" s="8" t="s">
        <v>3</v>
      </c>
      <c r="E17" s="1"/>
    </row>
    <row r="18" spans="1:5" ht="15" customHeight="1" x14ac:dyDescent="0.25">
      <c r="A18" s="1"/>
      <c r="B18" s="65" t="s">
        <v>22</v>
      </c>
      <c r="C18" s="9">
        <v>-1006575.9582738255</v>
      </c>
      <c r="D18" s="8" t="s">
        <v>3</v>
      </c>
      <c r="E18" s="43"/>
    </row>
    <row r="19" spans="1:5" ht="15" customHeight="1" x14ac:dyDescent="0.25">
      <c r="A19" s="1"/>
      <c r="B19" s="65" t="s">
        <v>23</v>
      </c>
      <c r="C19" s="9">
        <v>0</v>
      </c>
      <c r="D19" s="8" t="s">
        <v>3</v>
      </c>
      <c r="E19" s="1"/>
    </row>
    <row r="20" spans="1:5" ht="15" customHeight="1" x14ac:dyDescent="0.25">
      <c r="A20" s="1"/>
      <c r="B20" s="83" t="s">
        <v>21</v>
      </c>
      <c r="C20" s="10">
        <v>153812866.71802458</v>
      </c>
      <c r="D20" s="11" t="s">
        <v>3</v>
      </c>
      <c r="E20" s="1"/>
    </row>
    <row r="21" spans="1:5" ht="15" customHeight="1" x14ac:dyDescent="0.25">
      <c r="A21" s="1"/>
      <c r="B21" s="33" t="s">
        <v>12</v>
      </c>
      <c r="C21" s="28"/>
      <c r="D21" s="19"/>
      <c r="E21" s="1"/>
    </row>
    <row r="22" spans="1:5" ht="15" customHeight="1" x14ac:dyDescent="0.25">
      <c r="A22" s="1"/>
      <c r="B22" s="31" t="s">
        <v>12</v>
      </c>
      <c r="C22" s="10">
        <v>9159938.5222899206</v>
      </c>
      <c r="D22" s="11" t="s">
        <v>3</v>
      </c>
      <c r="E22" s="1"/>
    </row>
    <row r="23" spans="1:5" ht="15" customHeight="1" x14ac:dyDescent="0.25">
      <c r="A23" s="1"/>
      <c r="B23" s="33" t="s">
        <v>43</v>
      </c>
      <c r="C23" s="28"/>
      <c r="D23" s="19"/>
      <c r="E23" s="1"/>
    </row>
    <row r="24" spans="1:5" ht="15" customHeight="1" x14ac:dyDescent="0.25">
      <c r="A24" s="1"/>
      <c r="B24" s="83" t="s">
        <v>43</v>
      </c>
      <c r="C24" s="10">
        <v>0</v>
      </c>
      <c r="D24" s="11" t="s">
        <v>3</v>
      </c>
      <c r="E24" s="1"/>
    </row>
    <row r="25" spans="1:5" x14ac:dyDescent="0.25">
      <c r="A25" s="1"/>
      <c r="B25" s="33" t="s">
        <v>42</v>
      </c>
      <c r="C25" s="28"/>
      <c r="D25" s="19"/>
      <c r="E25" s="1"/>
    </row>
    <row r="26" spans="1:5" ht="15" customHeight="1" x14ac:dyDescent="0.25">
      <c r="A26" s="1"/>
      <c r="B26" s="65" t="s">
        <v>38</v>
      </c>
      <c r="C26" s="9">
        <v>0</v>
      </c>
      <c r="D26" s="8" t="s">
        <v>3</v>
      </c>
      <c r="E26" s="1"/>
    </row>
    <row r="27" spans="1:5" ht="15" customHeight="1" x14ac:dyDescent="0.25">
      <c r="A27" s="1"/>
      <c r="B27" s="65" t="s">
        <v>39</v>
      </c>
      <c r="C27" s="9">
        <v>0</v>
      </c>
      <c r="D27" s="8" t="s">
        <v>3</v>
      </c>
      <c r="E27" s="1"/>
    </row>
    <row r="28" spans="1:5" ht="15" customHeight="1" x14ac:dyDescent="0.25">
      <c r="A28" s="1"/>
      <c r="B28" s="65" t="s">
        <v>226</v>
      </c>
      <c r="C28" s="9">
        <v>0</v>
      </c>
      <c r="D28" s="8" t="s">
        <v>3</v>
      </c>
      <c r="E28" s="1"/>
    </row>
    <row r="29" spans="1:5" ht="15" customHeight="1" x14ac:dyDescent="0.25">
      <c r="A29" s="1"/>
      <c r="B29" s="72" t="s">
        <v>227</v>
      </c>
      <c r="C29" s="9">
        <v>0</v>
      </c>
      <c r="D29" s="8" t="s">
        <v>3</v>
      </c>
      <c r="E29" s="1"/>
    </row>
    <row r="30" spans="1:5" ht="15" customHeight="1" x14ac:dyDescent="0.25">
      <c r="A30" s="1"/>
      <c r="B30" s="83" t="s">
        <v>44</v>
      </c>
      <c r="C30" s="10">
        <v>0</v>
      </c>
      <c r="D30" s="11" t="s">
        <v>3</v>
      </c>
      <c r="E30" s="1"/>
    </row>
    <row r="31" spans="1:5" ht="15" customHeight="1" x14ac:dyDescent="0.25">
      <c r="A31" s="1"/>
      <c r="B31" s="33" t="s">
        <v>129</v>
      </c>
      <c r="C31" s="28"/>
      <c r="D31" s="19"/>
      <c r="E31" s="1"/>
    </row>
    <row r="32" spans="1:5" ht="15" customHeight="1" x14ac:dyDescent="0.25">
      <c r="A32" s="1"/>
      <c r="B32" s="31" t="s">
        <v>129</v>
      </c>
      <c r="C32" s="10">
        <v>0</v>
      </c>
      <c r="D32" s="11" t="s">
        <v>3</v>
      </c>
      <c r="E32" s="1"/>
    </row>
    <row r="33" spans="1:5" x14ac:dyDescent="0.25">
      <c r="A33" s="1"/>
      <c r="B33" s="33" t="s">
        <v>70</v>
      </c>
      <c r="C33" s="28"/>
      <c r="D33" s="19"/>
      <c r="E33" s="1"/>
    </row>
    <row r="34" spans="1:5" ht="15.4" customHeight="1" x14ac:dyDescent="0.25">
      <c r="A34" s="1"/>
      <c r="B34" s="31" t="s">
        <v>80</v>
      </c>
      <c r="C34" s="10">
        <v>-15930295.767255664</v>
      </c>
      <c r="D34" s="11" t="s">
        <v>3</v>
      </c>
      <c r="E34" s="1"/>
    </row>
    <row r="35" spans="1:5" ht="15.4" customHeight="1" x14ac:dyDescent="0.25">
      <c r="A35" s="1"/>
      <c r="B35" s="108" t="s">
        <v>76</v>
      </c>
      <c r="C35" s="109"/>
      <c r="D35" s="110"/>
      <c r="E35" s="1"/>
    </row>
    <row r="36" spans="1:5" x14ac:dyDescent="0.25">
      <c r="A36" s="1"/>
      <c r="B36" s="68" t="s">
        <v>77</v>
      </c>
      <c r="C36" s="10">
        <v>0</v>
      </c>
      <c r="D36" s="11" t="s">
        <v>3</v>
      </c>
      <c r="E36" s="1"/>
    </row>
    <row r="37" spans="1:5" x14ac:dyDescent="0.25">
      <c r="A37" s="1"/>
      <c r="B37" s="30" t="s">
        <v>214</v>
      </c>
      <c r="C37" s="28"/>
      <c r="D37" s="19"/>
      <c r="E37" s="1"/>
    </row>
    <row r="38" spans="1:5" x14ac:dyDescent="0.25">
      <c r="A38" s="1"/>
      <c r="B38" s="68" t="s">
        <v>215</v>
      </c>
      <c r="C38" s="10">
        <v>4546783.1730254563</v>
      </c>
      <c r="D38" s="11" t="s">
        <v>3</v>
      </c>
      <c r="E38" s="1"/>
    </row>
    <row r="39" spans="1:5" x14ac:dyDescent="0.25">
      <c r="A39" s="1"/>
      <c r="B39" s="33" t="s">
        <v>66</v>
      </c>
      <c r="C39" s="12">
        <v>151589292.64608431</v>
      </c>
      <c r="D39" s="13" t="s">
        <v>3</v>
      </c>
      <c r="E39" s="1"/>
    </row>
    <row r="40" spans="1:5" ht="30" customHeight="1" x14ac:dyDescent="0.25">
      <c r="A40" s="1"/>
      <c r="B40" s="107" t="s">
        <v>228</v>
      </c>
      <c r="C40" s="107"/>
      <c r="D40" s="107"/>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44"/>
      <c r="B48" s="44"/>
      <c r="C48" s="44"/>
      <c r="D48" s="44"/>
      <c r="E48" s="44"/>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fgbl5gU9p3XNvDQTPe/VEBI2HdbQ1DWfnl/ukcGhNZ8A9QdrbgmWgoylzIcO04idKqW/TuRPZT3LU0gwvjz4ww==" saltValue="pEgBks/IHaXD7wgLo+LFLQ==" spinCount="100000" sheet="1" objects="1" scenarios="1"/>
  <mergeCells count="3">
    <mergeCell ref="B40:D40"/>
    <mergeCell ref="B35:D35"/>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25">
      <c r="A6" s="1"/>
      <c r="B6" s="76"/>
      <c r="C6" s="76"/>
      <c r="D6" s="76"/>
      <c r="E6" s="1"/>
    </row>
    <row r="7" spans="1:5" x14ac:dyDescent="0.25">
      <c r="A7" s="1"/>
      <c r="B7" s="1"/>
      <c r="C7" s="1"/>
      <c r="D7" s="1"/>
      <c r="E7" s="1"/>
    </row>
    <row r="8" spans="1:5" x14ac:dyDescent="0.25">
      <c r="A8" s="1"/>
      <c r="B8" s="112" t="s">
        <v>124</v>
      </c>
      <c r="C8" s="113"/>
      <c r="D8" s="114"/>
      <c r="E8" s="1"/>
    </row>
    <row r="9" spans="1:5" x14ac:dyDescent="0.25">
      <c r="A9" s="1"/>
      <c r="B9" s="66" t="s">
        <v>89</v>
      </c>
      <c r="C9" s="23">
        <v>48047880.961637005</v>
      </c>
      <c r="D9" s="14" t="s">
        <v>3</v>
      </c>
      <c r="E9" s="1"/>
    </row>
    <row r="10" spans="1:5" x14ac:dyDescent="0.25">
      <c r="A10" s="1"/>
      <c r="B10" s="66" t="s">
        <v>126</v>
      </c>
      <c r="C10" s="23">
        <f>('Fane 3. Omkostninger i ØR2024'!C10+'Fane 3. Omkostninger i ØR2024'!C12+'Fane 3. Omkostninger i ØR2024'!C14)*(1+'Fane 15. Nøgletal'!C9)</f>
        <v>2280916.9520542719</v>
      </c>
      <c r="D10" s="14" t="s">
        <v>3</v>
      </c>
      <c r="E10" s="1"/>
    </row>
    <row r="11" spans="1:5" x14ac:dyDescent="0.25">
      <c r="A11" s="1"/>
      <c r="B11" s="66" t="s">
        <v>132</v>
      </c>
      <c r="C11" s="23">
        <f>C9*'Fane 15. Nøgletal'!C21+C10*'Fane 15. Nøgletal'!C21</f>
        <v>1006575.9582738256</v>
      </c>
      <c r="D11" s="14" t="s">
        <v>3</v>
      </c>
      <c r="E11" s="1"/>
    </row>
    <row r="12" spans="1:5" x14ac:dyDescent="0.25">
      <c r="A12" s="1"/>
      <c r="B12" s="33"/>
      <c r="C12" s="28"/>
      <c r="D12" s="19"/>
      <c r="E12" s="1"/>
    </row>
    <row r="13" spans="1:5" x14ac:dyDescent="0.25">
      <c r="A13" s="1"/>
      <c r="B13" s="1"/>
      <c r="C13" s="1"/>
      <c r="D13" s="1"/>
      <c r="E13" s="1"/>
    </row>
    <row r="14" spans="1:5" x14ac:dyDescent="0.25">
      <c r="A14" s="1"/>
      <c r="B14" s="112" t="s">
        <v>125</v>
      </c>
      <c r="C14" s="113"/>
      <c r="D14" s="114"/>
      <c r="E14" s="1"/>
    </row>
    <row r="15" spans="1:5" x14ac:dyDescent="0.25">
      <c r="A15" s="1"/>
      <c r="B15" s="66" t="s">
        <v>134</v>
      </c>
      <c r="C15" s="23">
        <f>(C9+C10-C11)*(1+'Fane 15. Nøgletal'!C9)</f>
        <v>53307457.489415176</v>
      </c>
      <c r="D15" s="14" t="s">
        <v>3</v>
      </c>
      <c r="E15" s="1"/>
    </row>
    <row r="16" spans="1:5" x14ac:dyDescent="0.25">
      <c r="A16" s="1"/>
      <c r="B16" s="66" t="s">
        <v>185</v>
      </c>
      <c r="C16" s="23">
        <f>('Fane 2.1. Økonomisk ramme 2025'!C10+'Fane 2.1. Økonomisk ramme 2025'!C12+'Fane 2.1. Økonomisk ramme 2025'!C14)*(1+'Fane 15. Nøgletal'!C10)</f>
        <v>1104337.76279613</v>
      </c>
      <c r="D16" s="14" t="s">
        <v>3</v>
      </c>
      <c r="E16" s="1"/>
    </row>
    <row r="17" spans="1:5" x14ac:dyDescent="0.25">
      <c r="A17" s="1"/>
      <c r="B17" s="66" t="s">
        <v>133</v>
      </c>
      <c r="C17" s="23">
        <f>C15*'Fane 15. Nøgletal'!C21+C16*'Fane 15. Nøgletal'!C21</f>
        <v>1088235.9050442262</v>
      </c>
      <c r="D17" s="14" t="s">
        <v>3</v>
      </c>
      <c r="E17" s="1"/>
    </row>
    <row r="18" spans="1:5" x14ac:dyDescent="0.25">
      <c r="A18" s="1"/>
      <c r="B18" s="33"/>
      <c r="C18" s="28"/>
      <c r="D18" s="19"/>
      <c r="E18" s="1"/>
    </row>
    <row r="19" spans="1:5" x14ac:dyDescent="0.25">
      <c r="A19" s="1"/>
      <c r="B19" s="1"/>
      <c r="C19" s="64"/>
      <c r="D19" s="1"/>
      <c r="E19" s="1"/>
    </row>
    <row r="20" spans="1:5" x14ac:dyDescent="0.25">
      <c r="A20" s="1"/>
      <c r="B20" s="112" t="s">
        <v>146</v>
      </c>
      <c r="C20" s="113"/>
      <c r="D20" s="114"/>
      <c r="E20" s="1"/>
    </row>
    <row r="21" spans="1:5" x14ac:dyDescent="0.25">
      <c r="A21" s="1"/>
      <c r="B21" s="66" t="s">
        <v>190</v>
      </c>
      <c r="C21" s="23">
        <f>(C15+C16-C17)*(1+'Fane 15. Nøgletal'!C10)</f>
        <v>56858911.33188425</v>
      </c>
      <c r="D21" s="14" t="s">
        <v>3</v>
      </c>
      <c r="E21" s="1"/>
    </row>
    <row r="22" spans="1:5" x14ac:dyDescent="0.25">
      <c r="A22" s="1"/>
      <c r="B22" s="66" t="s">
        <v>197</v>
      </c>
      <c r="C22" s="23">
        <f>C21*'Fane 15. Nøgletal'!C21</f>
        <v>1137178.226637685</v>
      </c>
      <c r="D22" s="14" t="s">
        <v>3</v>
      </c>
      <c r="E22" s="1"/>
    </row>
    <row r="23" spans="1:5" x14ac:dyDescent="0.25">
      <c r="A23" s="1"/>
      <c r="B23" s="33"/>
      <c r="C23" s="28"/>
      <c r="D23" s="19"/>
      <c r="E23" s="1"/>
    </row>
    <row r="24" spans="1:5" x14ac:dyDescent="0.25">
      <c r="A24" s="1"/>
      <c r="B24" s="1"/>
      <c r="C24" s="1"/>
      <c r="D24" s="1"/>
      <c r="E24" s="1"/>
    </row>
    <row r="25" spans="1:5" x14ac:dyDescent="0.25">
      <c r="A25" s="1"/>
      <c r="B25" s="112" t="s">
        <v>188</v>
      </c>
      <c r="C25" s="113"/>
      <c r="D25" s="114"/>
      <c r="E25" s="1"/>
    </row>
    <row r="26" spans="1:5" x14ac:dyDescent="0.25">
      <c r="A26" s="1"/>
      <c r="B26" s="66" t="s">
        <v>191</v>
      </c>
      <c r="C26" s="23">
        <f>(C21-C22)*(1+'Fane 15. Nøgletal'!C10)</f>
        <v>59416084.010124415</v>
      </c>
      <c r="D26" s="14" t="s">
        <v>3</v>
      </c>
      <c r="E26" s="1"/>
    </row>
    <row r="27" spans="1:5" x14ac:dyDescent="0.25">
      <c r="A27" s="1"/>
      <c r="B27" s="66" t="s">
        <v>195</v>
      </c>
      <c r="C27" s="23">
        <f>C26*'Fane 15. Nøgletal'!C21</f>
        <v>1188321.6802024883</v>
      </c>
      <c r="D27" s="14" t="s">
        <v>3</v>
      </c>
      <c r="E27" s="1"/>
    </row>
    <row r="28" spans="1:5" x14ac:dyDescent="0.25">
      <c r="A28" s="1"/>
      <c r="B28" s="33"/>
      <c r="C28" s="28"/>
      <c r="D28" s="19"/>
      <c r="E28" s="1"/>
    </row>
    <row r="29" spans="1:5" x14ac:dyDescent="0.25">
      <c r="A29" s="1"/>
      <c r="B29" s="1"/>
      <c r="C29" s="1"/>
      <c r="D29" s="1"/>
      <c r="E29" s="1"/>
    </row>
    <row r="30" spans="1:5" x14ac:dyDescent="0.25">
      <c r="A30" s="1"/>
      <c r="B30" s="112" t="s">
        <v>189</v>
      </c>
      <c r="C30" s="113"/>
      <c r="D30" s="114"/>
      <c r="E30" s="1"/>
    </row>
    <row r="31" spans="1:5" x14ac:dyDescent="0.25">
      <c r="A31" s="1"/>
      <c r="B31" s="66" t="s">
        <v>192</v>
      </c>
      <c r="C31" s="23">
        <f>(C26-C27)*(1+'Fane 15. Nøgletal'!C10)</f>
        <v>62088262.972395748</v>
      </c>
      <c r="D31" s="14" t="s">
        <v>3</v>
      </c>
      <c r="E31" s="1"/>
    </row>
    <row r="32" spans="1:5" x14ac:dyDescent="0.25">
      <c r="A32" s="1"/>
      <c r="B32" s="66" t="s">
        <v>196</v>
      </c>
      <c r="C32" s="23">
        <f>C31*'Fane 15. Nøgletal'!C21</f>
        <v>1241765.259447915</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xXP4n4ygsaMB9S1JmqT/1VUpifn7MWIUCr5JCItFmNHAWZjTJ+3xmKgeXJZhwwix5uNriWEEi6+Dtz3cGQVCHQ==" saltValue="f4ATiOnyqkmtKZGyO+5Clw=="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70"/>
      <c r="C1" s="70"/>
      <c r="D1" s="70"/>
      <c r="E1" s="1"/>
    </row>
    <row r="2" spans="1:5" ht="15" customHeight="1" x14ac:dyDescent="0.35">
      <c r="A2" s="1"/>
      <c r="B2" s="70"/>
      <c r="C2" s="70"/>
      <c r="D2" s="70"/>
      <c r="E2" s="1"/>
    </row>
    <row r="3" spans="1:5" ht="15" customHeight="1" x14ac:dyDescent="0.25">
      <c r="A3" s="1"/>
      <c r="B3" s="115" t="s">
        <v>58</v>
      </c>
      <c r="C3" s="115"/>
      <c r="D3" s="115"/>
      <c r="E3" s="1"/>
    </row>
    <row r="4" spans="1:5" ht="15" customHeight="1" x14ac:dyDescent="0.25">
      <c r="A4" s="1"/>
      <c r="B4" s="115"/>
      <c r="C4" s="115"/>
      <c r="D4" s="115"/>
      <c r="E4" s="1"/>
    </row>
    <row r="5" spans="1:5" ht="15" customHeight="1" x14ac:dyDescent="0.25">
      <c r="A5" s="1"/>
      <c r="B5" s="115"/>
      <c r="C5" s="115"/>
      <c r="D5" s="115"/>
      <c r="E5" s="1"/>
    </row>
    <row r="6" spans="1:5" ht="15" customHeight="1" x14ac:dyDescent="0.35">
      <c r="A6" s="1"/>
      <c r="B6" s="70"/>
      <c r="C6" s="70"/>
      <c r="D6" s="70"/>
      <c r="E6" s="1"/>
    </row>
    <row r="7" spans="1:5" x14ac:dyDescent="0.25">
      <c r="A7" s="1"/>
      <c r="B7" s="1"/>
      <c r="C7" s="1"/>
      <c r="D7" s="1"/>
      <c r="E7" s="1"/>
    </row>
    <row r="8" spans="1:5" x14ac:dyDescent="0.25">
      <c r="A8" s="1"/>
      <c r="B8" s="112" t="s">
        <v>148</v>
      </c>
      <c r="C8" s="113"/>
      <c r="D8" s="114"/>
      <c r="E8" s="1"/>
    </row>
    <row r="9" spans="1:5" x14ac:dyDescent="0.25">
      <c r="A9" s="1"/>
      <c r="B9" s="66" t="s">
        <v>135</v>
      </c>
      <c r="C9" s="23">
        <v>110402320.30972345</v>
      </c>
      <c r="D9" s="14" t="s">
        <v>3</v>
      </c>
      <c r="E9" s="1"/>
    </row>
    <row r="10" spans="1:5" x14ac:dyDescent="0.25">
      <c r="A10" s="1"/>
      <c r="B10" s="66" t="s">
        <v>127</v>
      </c>
      <c r="C10" s="23">
        <f>('Fane 3. Omkostninger i ØR2024'!C11+'Fane 3. Omkostninger i ØR2024'!C13+'Fane 3. Omkostninger i ØR2024'!C15)*(1+'Fane 15. Nøgletal'!C9)</f>
        <v>825577.25257728004</v>
      </c>
      <c r="D10" s="14" t="s">
        <v>3</v>
      </c>
      <c r="E10" s="1"/>
    </row>
    <row r="11" spans="1:5" x14ac:dyDescent="0.25">
      <c r="A11" s="1"/>
      <c r="B11" s="66" t="s">
        <v>136</v>
      </c>
      <c r="C11" s="2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12" t="s">
        <v>147</v>
      </c>
      <c r="C14" s="113"/>
      <c r="D14" s="114"/>
      <c r="E14" s="1"/>
    </row>
    <row r="15" spans="1:5" x14ac:dyDescent="0.25">
      <c r="A15" s="1"/>
      <c r="B15" s="66" t="s">
        <v>137</v>
      </c>
      <c r="C15" s="23">
        <f>(C9+C10-C11)*(1+'Fane 15. Nøgletal'!C9)</f>
        <v>120215111.68533462</v>
      </c>
      <c r="D15" s="14" t="s">
        <v>3</v>
      </c>
      <c r="E15" s="1"/>
    </row>
    <row r="16" spans="1:5" x14ac:dyDescent="0.25">
      <c r="A16" s="1"/>
      <c r="B16" s="66" t="s">
        <v>186</v>
      </c>
      <c r="C16" s="23">
        <f>('Fane 2.1. Økonomisk ramme 2025'!C11+'Fane 2.1. Økonomisk ramme 2025'!C13+'Fane 2.1. Økonomisk ramme 2025'!C15)*(1+'Fane 15. Nøgletal'!C10)</f>
        <v>1021437.13304685</v>
      </c>
      <c r="D16" s="14" t="s">
        <v>3</v>
      </c>
      <c r="E16" s="1"/>
    </row>
    <row r="17" spans="1:5" x14ac:dyDescent="0.25">
      <c r="A17" s="1"/>
      <c r="B17" s="66" t="s">
        <v>138</v>
      </c>
      <c r="C17" s="2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12" t="s">
        <v>83</v>
      </c>
      <c r="C20" s="113"/>
      <c r="D20" s="114"/>
      <c r="E20" s="1"/>
    </row>
    <row r="21" spans="1:5" x14ac:dyDescent="0.25">
      <c r="A21" s="1"/>
      <c r="B21" s="66" t="s">
        <v>193</v>
      </c>
      <c r="C21" s="23">
        <f>(C15+C16-C17)*(1+'Fane 15. Nøgletal'!C10)</f>
        <v>129274532.00504017</v>
      </c>
      <c r="D21" s="14" t="s">
        <v>3</v>
      </c>
      <c r="E21" s="1"/>
    </row>
    <row r="22" spans="1:5" x14ac:dyDescent="0.25">
      <c r="A22" s="1"/>
      <c r="B22" s="66" t="s">
        <v>198</v>
      </c>
      <c r="C22" s="2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12" t="s">
        <v>139</v>
      </c>
      <c r="C25" s="113"/>
      <c r="D25" s="114"/>
      <c r="E25" s="1"/>
    </row>
    <row r="26" spans="1:5" x14ac:dyDescent="0.25">
      <c r="A26" s="1"/>
      <c r="B26" s="66" t="s">
        <v>194</v>
      </c>
      <c r="C26" s="23">
        <f>(C21-C22)*(1+'Fane 15. Nøgletal'!C10)</f>
        <v>137845433.47697434</v>
      </c>
      <c r="D26" s="14" t="s">
        <v>3</v>
      </c>
      <c r="E26" s="1"/>
    </row>
    <row r="27" spans="1:5" x14ac:dyDescent="0.25">
      <c r="A27" s="1"/>
      <c r="B27" s="66" t="s">
        <v>199</v>
      </c>
      <c r="C27" s="2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12" t="s">
        <v>164</v>
      </c>
      <c r="C30" s="113"/>
      <c r="D30" s="114"/>
      <c r="E30" s="1"/>
    </row>
    <row r="31" spans="1:5" x14ac:dyDescent="0.25">
      <c r="A31" s="1"/>
      <c r="B31" s="66" t="s">
        <v>201</v>
      </c>
      <c r="C31" s="23">
        <f>(C26-C27)*(1+'Fane 15. Nøgletal'!C10)</f>
        <v>146984585.71649775</v>
      </c>
      <c r="D31" s="14" t="s">
        <v>3</v>
      </c>
      <c r="E31" s="1"/>
    </row>
    <row r="32" spans="1:5" x14ac:dyDescent="0.25">
      <c r="A32" s="1"/>
      <c r="B32" s="66" t="s">
        <v>200</v>
      </c>
      <c r="C32" s="2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tjxK9TJMpRpbXfiVXVZKZqRT76ClIQTz9POlG7z+PI9MQ5RjbVKl7KhOn/QrOzwbNBLJ6OfmA3NvWsq1Nyv8qg==" saltValue="3tMXbVSYhRD6ranFjjtNLA=="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5" t="s">
        <v>45</v>
      </c>
      <c r="C3" s="105"/>
      <c r="D3" s="1"/>
    </row>
    <row r="4" spans="1:4" ht="15" customHeight="1" x14ac:dyDescent="0.25">
      <c r="A4" s="1"/>
      <c r="B4" s="105"/>
      <c r="C4" s="105"/>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12" t="s">
        <v>10</v>
      </c>
      <c r="C8" s="114"/>
      <c r="D8" s="1"/>
    </row>
    <row r="9" spans="1:4" x14ac:dyDescent="0.25">
      <c r="A9" s="1"/>
      <c r="B9" s="66" t="s">
        <v>165</v>
      </c>
      <c r="C9" s="22">
        <v>0</v>
      </c>
      <c r="D9" s="1"/>
    </row>
    <row r="10" spans="1:4" x14ac:dyDescent="0.25">
      <c r="A10" s="1"/>
      <c r="B10" s="33"/>
      <c r="C10" s="19"/>
      <c r="D10" s="1"/>
    </row>
    <row r="11" spans="1:4" x14ac:dyDescent="0.25">
      <c r="A11" s="1"/>
      <c r="B11" s="116" t="s">
        <v>221</v>
      </c>
      <c r="C11" s="117"/>
      <c r="D11" s="1"/>
    </row>
    <row r="12" spans="1:4" x14ac:dyDescent="0.25">
      <c r="A12" s="1"/>
      <c r="B12" s="118"/>
      <c r="C12" s="119"/>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U7nl/O0haRsamgPD/S3cSaBMgvsrsv2jCpo32GDsJNEeX4UXE8hTfbZeyqBBlcL/+n1B8YeAGRVusArvaLN9uw==" saltValue="A24K0v3EePI3YxzdY6jL2w=="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59</v>
      </c>
      <c r="C3" s="105"/>
      <c r="D3" s="105"/>
      <c r="E3" s="1"/>
    </row>
    <row r="4" spans="1:5" ht="15" customHeight="1" x14ac:dyDescent="0.25">
      <c r="A4" s="1"/>
      <c r="B4" s="105"/>
      <c r="C4" s="105"/>
      <c r="D4" s="10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12" t="s">
        <v>166</v>
      </c>
      <c r="C8" s="113"/>
      <c r="D8" s="114"/>
      <c r="E8" s="1"/>
    </row>
    <row r="9" spans="1:5" ht="15" customHeight="1" x14ac:dyDescent="0.25">
      <c r="A9" s="1"/>
      <c r="B9" s="27" t="s">
        <v>28</v>
      </c>
      <c r="C9" s="68" t="s">
        <v>167</v>
      </c>
      <c r="D9" s="11"/>
      <c r="E9" s="1"/>
    </row>
    <row r="10" spans="1:5" ht="15" customHeight="1" x14ac:dyDescent="0.25">
      <c r="A10" s="1"/>
      <c r="B10" s="73" t="s">
        <v>232</v>
      </c>
      <c r="C10" s="74">
        <v>1481888</v>
      </c>
      <c r="D10" s="14" t="s">
        <v>3</v>
      </c>
      <c r="E10" s="1"/>
    </row>
    <row r="11" spans="1:5" ht="15" customHeight="1" x14ac:dyDescent="0.25">
      <c r="A11" s="1"/>
      <c r="B11" s="73" t="s">
        <v>233</v>
      </c>
      <c r="C11" s="74">
        <v>123125</v>
      </c>
      <c r="D11" s="14" t="s">
        <v>3</v>
      </c>
      <c r="E11" s="1"/>
    </row>
    <row r="12" spans="1:5" x14ac:dyDescent="0.25">
      <c r="A12" s="1"/>
      <c r="B12" s="73" t="s">
        <v>234</v>
      </c>
      <c r="C12" s="74">
        <v>1057532</v>
      </c>
      <c r="D12" s="14" t="s">
        <v>3</v>
      </c>
      <c r="E12" s="1"/>
    </row>
    <row r="13" spans="1:5" x14ac:dyDescent="0.25">
      <c r="A13" s="1"/>
      <c r="B13" s="73" t="s">
        <v>235</v>
      </c>
      <c r="C13" s="74">
        <v>568250</v>
      </c>
      <c r="D13" s="14" t="s">
        <v>3</v>
      </c>
      <c r="E13" s="1"/>
    </row>
    <row r="14" spans="1:5" x14ac:dyDescent="0.25">
      <c r="A14" s="1"/>
      <c r="B14" s="73" t="s">
        <v>236</v>
      </c>
      <c r="C14" s="74">
        <v>21404</v>
      </c>
      <c r="D14" s="14" t="s">
        <v>3</v>
      </c>
      <c r="E14" s="1"/>
    </row>
    <row r="15" spans="1:5" x14ac:dyDescent="0.25">
      <c r="A15" s="1"/>
      <c r="B15" s="73" t="s">
        <v>237</v>
      </c>
      <c r="C15" s="74">
        <v>46250</v>
      </c>
      <c r="D15" s="14" t="s">
        <v>3</v>
      </c>
      <c r="E15" s="1"/>
    </row>
    <row r="16" spans="1:5" x14ac:dyDescent="0.25">
      <c r="A16" s="1"/>
      <c r="B16" s="73"/>
      <c r="C16" s="74"/>
      <c r="D16" s="14" t="s">
        <v>3</v>
      </c>
      <c r="E16" s="1"/>
    </row>
    <row r="17" spans="1:5" x14ac:dyDescent="0.25">
      <c r="A17" s="1"/>
      <c r="B17" s="73"/>
      <c r="C17" s="74"/>
      <c r="D17" s="14" t="s">
        <v>3</v>
      </c>
      <c r="E17" s="1"/>
    </row>
    <row r="18" spans="1:5" x14ac:dyDescent="0.25">
      <c r="A18" s="1"/>
      <c r="B18" s="73"/>
      <c r="C18" s="74"/>
      <c r="D18" s="14" t="s">
        <v>3</v>
      </c>
      <c r="E18" s="1"/>
    </row>
    <row r="19" spans="1:5" x14ac:dyDescent="0.25">
      <c r="A19" s="1"/>
      <c r="B19" s="73"/>
      <c r="C19" s="74"/>
      <c r="D19" s="14" t="s">
        <v>3</v>
      </c>
      <c r="E19" s="1"/>
    </row>
    <row r="20" spans="1:5" x14ac:dyDescent="0.25">
      <c r="A20" s="1"/>
      <c r="B20" s="33" t="s">
        <v>168</v>
      </c>
      <c r="C20" s="12">
        <f>SUM(C10:C19)</f>
        <v>3298449</v>
      </c>
      <c r="D20" s="13" t="s">
        <v>3</v>
      </c>
      <c r="E20" s="1"/>
    </row>
    <row r="21" spans="1:5" x14ac:dyDescent="0.25">
      <c r="A21" s="1"/>
      <c r="B21" s="33" t="s">
        <v>169</v>
      </c>
      <c r="C21" s="12">
        <f>C20*(1+'Fane 15. Nøgletal'!C10)^2</f>
        <v>3750322.29668481</v>
      </c>
      <c r="D21" s="13" t="s">
        <v>3</v>
      </c>
      <c r="E21" s="1"/>
    </row>
    <row r="22" spans="1:5" x14ac:dyDescent="0.25">
      <c r="A22" s="1"/>
      <c r="B22" s="16"/>
      <c r="C22" s="15"/>
      <c r="D22" s="15"/>
      <c r="E22" s="1"/>
    </row>
    <row r="23" spans="1:5" x14ac:dyDescent="0.25">
      <c r="A23" s="1"/>
      <c r="B23" s="16"/>
      <c r="C23" s="15"/>
      <c r="D23" s="15"/>
      <c r="E23" s="1"/>
    </row>
    <row r="24" spans="1:5" x14ac:dyDescent="0.25">
      <c r="A24" s="1"/>
      <c r="B24" s="112" t="s">
        <v>61</v>
      </c>
      <c r="C24" s="113"/>
      <c r="D24" s="114"/>
      <c r="E24" s="1"/>
    </row>
    <row r="25" spans="1:5" x14ac:dyDescent="0.25">
      <c r="A25" s="1"/>
      <c r="B25" s="37" t="s">
        <v>73</v>
      </c>
      <c r="C25" s="9">
        <v>0</v>
      </c>
      <c r="D25" s="14" t="s">
        <v>3</v>
      </c>
      <c r="E25" s="1"/>
    </row>
    <row r="26" spans="1:5" x14ac:dyDescent="0.25">
      <c r="A26" s="1"/>
      <c r="B26" s="37" t="s">
        <v>84</v>
      </c>
      <c r="C26" s="9">
        <v>0</v>
      </c>
      <c r="D26" s="14" t="s">
        <v>3</v>
      </c>
      <c r="E26" s="1"/>
    </row>
    <row r="27" spans="1:5" x14ac:dyDescent="0.25">
      <c r="A27" s="1"/>
      <c r="B27" s="37" t="s">
        <v>149</v>
      </c>
      <c r="C27" s="9">
        <v>0</v>
      </c>
      <c r="D27" s="14" t="s">
        <v>3</v>
      </c>
      <c r="E27" s="1"/>
    </row>
    <row r="28" spans="1:5" x14ac:dyDescent="0.25">
      <c r="A28" s="1"/>
      <c r="B28" s="34" t="s">
        <v>170</v>
      </c>
      <c r="C28" s="9">
        <v>0</v>
      </c>
      <c r="D28" s="36" t="s">
        <v>3</v>
      </c>
      <c r="E28" s="1"/>
    </row>
    <row r="29" spans="1:5" x14ac:dyDescent="0.25">
      <c r="A29" s="1"/>
      <c r="B29" s="112"/>
      <c r="C29" s="113"/>
      <c r="D29" s="114"/>
      <c r="E29" s="1"/>
    </row>
    <row r="30" spans="1:5" x14ac:dyDescent="0.25">
      <c r="A30" s="1"/>
      <c r="B30" s="1"/>
      <c r="C30" s="1"/>
      <c r="D30" s="1"/>
      <c r="E30" s="1"/>
    </row>
    <row r="31" spans="1:5" x14ac:dyDescent="0.25">
      <c r="A31" s="1"/>
      <c r="B31" s="1"/>
      <c r="C31" s="1"/>
      <c r="D31" s="1"/>
      <c r="E31" s="1"/>
    </row>
    <row r="32" spans="1:5" x14ac:dyDescent="0.25">
      <c r="A32" s="1"/>
      <c r="B32" s="112" t="s">
        <v>48</v>
      </c>
      <c r="C32" s="113"/>
      <c r="D32" s="114"/>
      <c r="E32" s="1"/>
    </row>
    <row r="33" spans="1:5" x14ac:dyDescent="0.25">
      <c r="A33" s="1"/>
      <c r="B33" s="37" t="s">
        <v>73</v>
      </c>
      <c r="C33" s="9">
        <v>4054658</v>
      </c>
      <c r="D33" s="14" t="s">
        <v>3</v>
      </c>
      <c r="E33" s="1"/>
    </row>
    <row r="34" spans="1:5" x14ac:dyDescent="0.25">
      <c r="A34" s="1"/>
      <c r="B34" s="37" t="s">
        <v>84</v>
      </c>
      <c r="C34" s="9">
        <v>0</v>
      </c>
      <c r="D34" s="14" t="s">
        <v>3</v>
      </c>
      <c r="E34" s="1"/>
    </row>
    <row r="35" spans="1:5" x14ac:dyDescent="0.25">
      <c r="A35" s="1"/>
      <c r="B35" s="37" t="s">
        <v>149</v>
      </c>
      <c r="C35" s="9">
        <v>0</v>
      </c>
      <c r="D35" s="14" t="s">
        <v>3</v>
      </c>
      <c r="E35" s="1"/>
    </row>
    <row r="36" spans="1:5" x14ac:dyDescent="0.25">
      <c r="A36" s="1"/>
      <c r="B36" s="34" t="s">
        <v>170</v>
      </c>
      <c r="C36" s="9">
        <v>0</v>
      </c>
      <c r="D36" s="36" t="s">
        <v>3</v>
      </c>
      <c r="E36" s="1"/>
    </row>
    <row r="37" spans="1:5" x14ac:dyDescent="0.25">
      <c r="A37" s="1"/>
      <c r="B37" s="112"/>
      <c r="C37" s="113"/>
      <c r="D37" s="114"/>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GoODHoRTKinvD+bOuWoQ2KMjXaGQLjTUwfND2/8B4v4NxMnSn40GeZenzNnZ8pZbjFtzfFUuXwn9pF2Qv/0pug==" saltValue="7pktoDz2QqG3N1a4Xw0l0w=="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1" t="s">
        <v>202</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25">
      <c r="A6" s="1"/>
      <c r="B6" s="76"/>
      <c r="C6" s="76"/>
      <c r="D6" s="76"/>
      <c r="E6" s="1"/>
    </row>
    <row r="7" spans="1:5" x14ac:dyDescent="0.25">
      <c r="A7" s="1"/>
      <c r="B7" s="1"/>
      <c r="C7" s="1"/>
      <c r="D7" s="1"/>
      <c r="E7" s="1"/>
    </row>
    <row r="8" spans="1:5" x14ac:dyDescent="0.25">
      <c r="A8" s="1"/>
      <c r="B8" s="112" t="s">
        <v>78</v>
      </c>
      <c r="C8" s="113"/>
      <c r="D8" s="114"/>
      <c r="E8" s="1"/>
    </row>
    <row r="9" spans="1:5" x14ac:dyDescent="0.25">
      <c r="A9" s="1"/>
      <c r="B9" s="66" t="s">
        <v>205</v>
      </c>
      <c r="C9" s="9">
        <v>-31860591.534511328</v>
      </c>
      <c r="D9" s="14" t="s">
        <v>3</v>
      </c>
      <c r="E9" s="1"/>
    </row>
    <row r="10" spans="1:5" x14ac:dyDescent="0.25">
      <c r="A10" s="1"/>
      <c r="B10" s="33"/>
      <c r="C10" s="28"/>
      <c r="D10" s="19"/>
      <c r="E10" s="1"/>
    </row>
    <row r="11" spans="1:5" ht="53.25" customHeight="1" x14ac:dyDescent="0.25">
      <c r="A11" s="1"/>
      <c r="B11" s="123" t="s">
        <v>213</v>
      </c>
      <c r="C11" s="124"/>
      <c r="D11" s="125"/>
      <c r="E11" s="1"/>
    </row>
    <row r="12" spans="1:5" x14ac:dyDescent="0.25">
      <c r="A12" s="1"/>
      <c r="B12" s="1"/>
      <c r="C12" s="1"/>
      <c r="D12" s="1"/>
      <c r="E12" s="1"/>
    </row>
    <row r="13" spans="1:5" x14ac:dyDescent="0.25">
      <c r="A13" s="1"/>
      <c r="B13" s="112" t="s">
        <v>79</v>
      </c>
      <c r="C13" s="113"/>
      <c r="D13" s="114"/>
      <c r="E13" s="1"/>
    </row>
    <row r="14" spans="1:5" x14ac:dyDescent="0.25">
      <c r="A14" s="1"/>
      <c r="B14" s="66" t="s">
        <v>203</v>
      </c>
      <c r="C14" s="9">
        <v>-15930295.767255664</v>
      </c>
      <c r="D14" s="14" t="s">
        <v>3</v>
      </c>
      <c r="E14" s="1"/>
    </row>
    <row r="15" spans="1:5" x14ac:dyDescent="0.25">
      <c r="A15" s="1"/>
      <c r="B15" s="66" t="s">
        <v>204</v>
      </c>
      <c r="C15" s="9">
        <v>-15930295.767255664</v>
      </c>
      <c r="D15" s="14" t="s">
        <v>3</v>
      </c>
      <c r="E15" s="1"/>
    </row>
    <row r="16" spans="1:5" x14ac:dyDescent="0.25">
      <c r="A16" s="1"/>
      <c r="B16" s="33"/>
      <c r="C16" s="28"/>
      <c r="D16" s="19"/>
      <c r="E16" s="1"/>
    </row>
    <row r="17" spans="1:5" ht="29.25" customHeight="1" x14ac:dyDescent="0.25">
      <c r="A17" s="1"/>
      <c r="B17" s="123" t="s">
        <v>122</v>
      </c>
      <c r="C17" s="124"/>
      <c r="D17" s="125"/>
      <c r="E17" s="1"/>
    </row>
    <row r="18" spans="1:5" x14ac:dyDescent="0.25">
      <c r="A18" s="1"/>
      <c r="B18" s="1"/>
      <c r="C18" s="1"/>
      <c r="D18" s="1"/>
      <c r="E18" s="1"/>
    </row>
    <row r="19" spans="1:5" x14ac:dyDescent="0.25">
      <c r="A19" s="1"/>
      <c r="B19" s="77" t="s">
        <v>206</v>
      </c>
      <c r="C19" s="78"/>
      <c r="D19" s="79"/>
      <c r="E19" s="1"/>
    </row>
    <row r="20" spans="1:5" x14ac:dyDescent="0.25">
      <c r="A20" s="1"/>
      <c r="B20" s="66" t="s">
        <v>207</v>
      </c>
      <c r="C20" s="9">
        <v>143233389.17331713</v>
      </c>
      <c r="D20" s="14" t="s">
        <v>3</v>
      </c>
      <c r="E20" s="1"/>
    </row>
    <row r="21" spans="1:5" x14ac:dyDescent="0.25">
      <c r="A21" s="1"/>
      <c r="B21" s="66" t="s">
        <v>208</v>
      </c>
      <c r="C21" s="9">
        <v>144023701</v>
      </c>
      <c r="D21" s="14" t="s">
        <v>3</v>
      </c>
      <c r="E21" s="1"/>
    </row>
    <row r="22" spans="1:5" x14ac:dyDescent="0.25">
      <c r="A22" s="1"/>
      <c r="B22" s="66" t="s">
        <v>29</v>
      </c>
      <c r="C22" s="9">
        <v>0</v>
      </c>
      <c r="D22" s="14" t="s">
        <v>3</v>
      </c>
      <c r="E22" s="1"/>
    </row>
    <row r="23" spans="1:5" x14ac:dyDescent="0.25">
      <c r="A23" s="1"/>
      <c r="B23" s="83" t="s">
        <v>209</v>
      </c>
      <c r="C23" s="57">
        <f>C20-C21-C22</f>
        <v>-790311.82668286562</v>
      </c>
      <c r="D23" s="17" t="s">
        <v>3</v>
      </c>
      <c r="E23" s="1"/>
    </row>
    <row r="24" spans="1:5" x14ac:dyDescent="0.25">
      <c r="A24" s="1"/>
      <c r="B24" s="33"/>
      <c r="C24" s="28"/>
      <c r="D24" s="19"/>
      <c r="E24" s="1"/>
    </row>
    <row r="25" spans="1:5" x14ac:dyDescent="0.25">
      <c r="A25" s="1"/>
      <c r="B25" s="1"/>
      <c r="C25" s="1"/>
      <c r="D25" s="1"/>
      <c r="E25" s="1"/>
    </row>
    <row r="26" spans="1:5" x14ac:dyDescent="0.25">
      <c r="A26" s="1"/>
      <c r="B26" s="112" t="s">
        <v>210</v>
      </c>
      <c r="C26" s="113"/>
      <c r="D26" s="114"/>
      <c r="E26" s="1"/>
    </row>
    <row r="27" spans="1:5" x14ac:dyDescent="0.25">
      <c r="A27" s="1"/>
      <c r="B27" s="83" t="s">
        <v>211</v>
      </c>
      <c r="C27" s="57">
        <f>IF(AND(C15&lt;0,C23&gt;0,ABS(SUM(C14:C15))&lt;C23),ABS(C14),IF(AND(C15&lt;0,C23&gt;0,ABS(SUM(C14:C15))&gt;C23),SUM(C14,C23),C15))</f>
        <v>-15930295.767255664</v>
      </c>
      <c r="D27" s="17" t="s">
        <v>3</v>
      </c>
      <c r="E27" s="1"/>
    </row>
    <row r="28" spans="1:5" x14ac:dyDescent="0.25">
      <c r="A28" s="1"/>
      <c r="B28" s="112"/>
      <c r="C28" s="113"/>
      <c r="D28" s="114"/>
      <c r="E28" s="1"/>
    </row>
    <row r="29" spans="1:5" x14ac:dyDescent="0.25">
      <c r="A29" s="1"/>
      <c r="B29" s="1"/>
      <c r="C29" s="1"/>
      <c r="D29" s="1"/>
      <c r="E29" s="1"/>
    </row>
    <row r="30" spans="1:5" x14ac:dyDescent="0.25">
      <c r="A30" s="1"/>
      <c r="B30" s="112" t="s">
        <v>212</v>
      </c>
      <c r="C30" s="113"/>
      <c r="D30" s="114"/>
      <c r="E30" s="1"/>
    </row>
    <row r="31" spans="1:5" x14ac:dyDescent="0.25">
      <c r="A31" s="1"/>
      <c r="B31" s="67" t="s">
        <v>70</v>
      </c>
      <c r="C31" s="58">
        <f>IF(AND(C9&gt;0,(C9+C23)&gt;0),0,IF(AND(C9&gt;0,(C9+C23)&lt;0),(C9+C23),IF(AND(C9&lt;0,C23&lt;0),C23,0)))</f>
        <v>-790311.82668286562</v>
      </c>
      <c r="D31" s="14" t="s">
        <v>3</v>
      </c>
      <c r="E31" s="1"/>
    </row>
    <row r="32" spans="1:5" x14ac:dyDescent="0.25">
      <c r="A32" s="1"/>
      <c r="B32" s="67" t="s">
        <v>50</v>
      </c>
      <c r="C32" s="9">
        <v>2</v>
      </c>
      <c r="D32" s="14" t="s">
        <v>20</v>
      </c>
      <c r="E32" s="1"/>
    </row>
    <row r="33" spans="1:5" x14ac:dyDescent="0.25">
      <c r="A33" s="1"/>
      <c r="B33" s="68" t="s">
        <v>71</v>
      </c>
      <c r="C33" s="57">
        <f>C31/C32</f>
        <v>-395155.91334143281</v>
      </c>
      <c r="D33" s="17" t="s">
        <v>3</v>
      </c>
      <c r="E33" s="1"/>
    </row>
    <row r="34" spans="1:5" x14ac:dyDescent="0.25">
      <c r="A34" s="1"/>
      <c r="B34" s="120"/>
      <c r="C34" s="121"/>
      <c r="D34" s="122"/>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0SLpaKa1yI991Spmo3SW7mac42klQI9FIcRaaFjQWi0QVWfYdv15eXt6s5XUP9YytZ1JHVqQV7leW0gqqqlj2w==" saltValue="AIRHfPCEyAvXw/Ro2++pBw=="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11" t="s">
        <v>102</v>
      </c>
      <c r="C3" s="111"/>
      <c r="D3" s="111"/>
      <c r="E3" s="1"/>
    </row>
    <row r="4" spans="1:5" ht="15" customHeight="1" x14ac:dyDescent="0.25">
      <c r="A4" s="1"/>
      <c r="B4" s="111"/>
      <c r="C4" s="111"/>
      <c r="D4" s="111"/>
      <c r="E4" s="1"/>
    </row>
    <row r="5" spans="1:5" x14ac:dyDescent="0.25">
      <c r="A5" s="1"/>
      <c r="B5" s="111"/>
      <c r="C5" s="111"/>
      <c r="D5" s="111"/>
      <c r="E5" s="1"/>
    </row>
    <row r="6" spans="1:5" x14ac:dyDescent="0.25">
      <c r="A6" s="1"/>
      <c r="B6" s="1"/>
      <c r="C6" s="1"/>
      <c r="D6" s="1"/>
      <c r="E6" s="1"/>
    </row>
    <row r="7" spans="1:5" x14ac:dyDescent="0.25">
      <c r="A7" s="1"/>
      <c r="B7" s="1"/>
      <c r="C7" s="1"/>
      <c r="D7" s="1"/>
      <c r="E7" s="1"/>
    </row>
    <row r="8" spans="1:5" x14ac:dyDescent="0.25">
      <c r="A8" s="1"/>
      <c r="B8" s="112" t="s">
        <v>121</v>
      </c>
      <c r="C8" s="113"/>
      <c r="D8" s="114"/>
      <c r="E8" s="1"/>
    </row>
    <row r="9" spans="1:5" ht="15" customHeight="1" x14ac:dyDescent="0.25">
      <c r="A9" s="1"/>
      <c r="B9" s="126" t="s">
        <v>103</v>
      </c>
      <c r="C9" s="127"/>
      <c r="D9" s="128"/>
      <c r="E9" s="1"/>
    </row>
    <row r="10" spans="1:5" x14ac:dyDescent="0.25">
      <c r="A10" s="1"/>
      <c r="B10" s="69" t="s">
        <v>104</v>
      </c>
      <c r="C10" s="9"/>
      <c r="D10" s="9" t="s">
        <v>3</v>
      </c>
      <c r="E10" s="1"/>
    </row>
    <row r="11" spans="1:5" x14ac:dyDescent="0.25">
      <c r="A11" s="1"/>
      <c r="B11" s="69" t="s">
        <v>105</v>
      </c>
      <c r="C11" s="9"/>
      <c r="D11" s="9" t="s">
        <v>3</v>
      </c>
      <c r="E11" s="1"/>
    </row>
    <row r="12" spans="1:5" x14ac:dyDescent="0.25">
      <c r="A12" s="1"/>
      <c r="B12" s="69" t="s">
        <v>106</v>
      </c>
      <c r="C12" s="9"/>
      <c r="D12" s="9" t="s">
        <v>3</v>
      </c>
      <c r="E12" s="1"/>
    </row>
    <row r="13" spans="1:5" x14ac:dyDescent="0.25">
      <c r="A13" s="1"/>
      <c r="B13" s="69" t="s">
        <v>107</v>
      </c>
      <c r="C13" s="9"/>
      <c r="D13" s="9" t="s">
        <v>3</v>
      </c>
      <c r="E13" s="1"/>
    </row>
    <row r="14" spans="1:5" x14ac:dyDescent="0.25">
      <c r="A14" s="1"/>
      <c r="B14" s="69" t="s">
        <v>108</v>
      </c>
      <c r="C14" s="9"/>
      <c r="D14" s="9" t="s">
        <v>3</v>
      </c>
      <c r="E14" s="1"/>
    </row>
    <row r="15" spans="1:5" x14ac:dyDescent="0.25">
      <c r="A15" s="1"/>
      <c r="B15" s="69" t="s">
        <v>109</v>
      </c>
      <c r="C15" s="9"/>
      <c r="D15" s="9" t="s">
        <v>3</v>
      </c>
      <c r="E15" s="1"/>
    </row>
    <row r="16" spans="1:5" x14ac:dyDescent="0.25">
      <c r="A16" s="1"/>
      <c r="B16" s="69" t="s">
        <v>110</v>
      </c>
      <c r="C16" s="9"/>
      <c r="D16" s="9" t="s">
        <v>3</v>
      </c>
      <c r="E16" s="1"/>
    </row>
    <row r="17" spans="1:5" x14ac:dyDescent="0.25">
      <c r="A17" s="1"/>
      <c r="B17" s="69" t="s">
        <v>111</v>
      </c>
      <c r="C17" s="9"/>
      <c r="D17" s="9" t="s">
        <v>3</v>
      </c>
      <c r="E17" s="1"/>
    </row>
    <row r="18" spans="1:5" x14ac:dyDescent="0.25">
      <c r="A18" s="1"/>
      <c r="B18" s="77" t="s">
        <v>112</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IH/LBfDPHMK+W8cgAA8M2bnBRaCPi+6cUGKZhfiqQok10Vm3OPveYpXdzUvTwUuEauV+KKLXbp5DRVNA9f3u5g==" saltValue="qNoC5pF8c1HXIXqifaTL9Q=="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1" t="s">
        <v>171</v>
      </c>
      <c r="C3" s="111"/>
      <c r="D3" s="111"/>
      <c r="E3" s="1"/>
    </row>
    <row r="4" spans="1:5" ht="15" customHeight="1" x14ac:dyDescent="0.25">
      <c r="A4" s="1"/>
      <c r="B4" s="111"/>
      <c r="C4" s="111"/>
      <c r="D4" s="111"/>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12" t="s">
        <v>172</v>
      </c>
      <c r="C8" s="113"/>
      <c r="D8" s="114"/>
      <c r="E8" s="1"/>
    </row>
    <row r="9" spans="1:5" ht="26.25" x14ac:dyDescent="0.25">
      <c r="A9" s="1"/>
      <c r="B9" s="80" t="s">
        <v>218</v>
      </c>
      <c r="C9" s="7"/>
      <c r="D9" s="8" t="s">
        <v>3</v>
      </c>
      <c r="E9" s="1"/>
    </row>
    <row r="10" spans="1:5" ht="14.25" customHeight="1" x14ac:dyDescent="0.25">
      <c r="A10" s="1"/>
      <c r="B10" s="66" t="s">
        <v>173</v>
      </c>
      <c r="C10" s="7"/>
      <c r="D10" s="8" t="s">
        <v>3</v>
      </c>
      <c r="E10" s="1"/>
    </row>
    <row r="11" spans="1:5" ht="14.25" customHeight="1" x14ac:dyDescent="0.25">
      <c r="A11" s="1"/>
      <c r="B11" s="83" t="s">
        <v>49</v>
      </c>
      <c r="C11" s="10">
        <f>C10-C9</f>
        <v>0</v>
      </c>
      <c r="D11" s="11" t="s">
        <v>3</v>
      </c>
      <c r="E11" s="1"/>
    </row>
    <row r="12" spans="1:5" ht="14.25" customHeight="1" x14ac:dyDescent="0.25">
      <c r="A12" s="1"/>
      <c r="B12" s="112" t="s">
        <v>220</v>
      </c>
      <c r="C12" s="113"/>
      <c r="D12" s="114"/>
      <c r="E12" s="1"/>
    </row>
    <row r="13" spans="1:5" ht="26.25" x14ac:dyDescent="0.25">
      <c r="A13" s="1"/>
      <c r="B13" s="80" t="s">
        <v>219</v>
      </c>
      <c r="C13" s="7">
        <v>0</v>
      </c>
      <c r="D13" s="8" t="s">
        <v>3</v>
      </c>
      <c r="E13" s="1"/>
    </row>
    <row r="14" spans="1:5" ht="14.25" customHeight="1" x14ac:dyDescent="0.25">
      <c r="A14" s="1"/>
      <c r="B14" s="66" t="s">
        <v>174</v>
      </c>
      <c r="C14" s="7">
        <v>0</v>
      </c>
      <c r="D14" s="8" t="s">
        <v>3</v>
      </c>
      <c r="E14" s="1"/>
    </row>
    <row r="15" spans="1:5" ht="14.25" customHeight="1" x14ac:dyDescent="0.25">
      <c r="A15" s="1"/>
      <c r="B15" s="83" t="s">
        <v>49</v>
      </c>
      <c r="C15" s="10">
        <f>C14-C13</f>
        <v>0</v>
      </c>
      <c r="D15" s="11" t="s">
        <v>3</v>
      </c>
      <c r="E15" s="1"/>
    </row>
    <row r="16" spans="1:5" ht="14.25" customHeight="1" x14ac:dyDescent="0.25">
      <c r="A16" s="1"/>
      <c r="B16" s="33" t="s">
        <v>175</v>
      </c>
      <c r="C16" s="12">
        <f>C11+C15</f>
        <v>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pgrWwA/45x8xRQJ8iHAqIShf6n7f/BxUXwviO32zfAvp0WLDFmN29ZX4yIf2wC5/F/zbr4oCBsOmEIlFrqPFWA==" saltValue="WEbZYCxJBqsFAXcQjdwu7Q=="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5" t="s">
        <v>114</v>
      </c>
      <c r="C3" s="105"/>
      <c r="D3" s="105"/>
      <c r="E3" s="105"/>
      <c r="F3" s="105"/>
      <c r="G3" s="105"/>
      <c r="H3" s="105"/>
      <c r="I3" s="105"/>
      <c r="J3" s="105"/>
      <c r="K3" s="105"/>
      <c r="L3" s="1"/>
    </row>
    <row r="4" spans="1:12" ht="15" customHeight="1" x14ac:dyDescent="0.25">
      <c r="A4" s="1"/>
      <c r="B4" s="105"/>
      <c r="C4" s="105"/>
      <c r="D4" s="105"/>
      <c r="E4" s="105"/>
      <c r="F4" s="105"/>
      <c r="G4" s="105"/>
      <c r="H4" s="105"/>
      <c r="I4" s="105"/>
      <c r="J4" s="105"/>
      <c r="K4" s="105"/>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2" t="s">
        <v>87</v>
      </c>
      <c r="C8" s="113"/>
      <c r="D8" s="113"/>
      <c r="E8" s="113"/>
      <c r="F8" s="113"/>
      <c r="G8" s="113"/>
      <c r="H8" s="113"/>
      <c r="I8" s="113"/>
      <c r="J8" s="113"/>
      <c r="K8" s="114"/>
      <c r="L8" s="1"/>
    </row>
    <row r="9" spans="1:12" ht="39.75" customHeight="1" x14ac:dyDescent="0.25">
      <c r="A9" s="1"/>
      <c r="B9" s="18" t="s">
        <v>0</v>
      </c>
      <c r="C9" s="18" t="s">
        <v>1</v>
      </c>
      <c r="D9" s="129" t="s">
        <v>97</v>
      </c>
      <c r="E9" s="130"/>
      <c r="F9" s="129" t="s">
        <v>2</v>
      </c>
      <c r="G9" s="130"/>
      <c r="H9" s="129" t="s">
        <v>96</v>
      </c>
      <c r="I9" s="130"/>
      <c r="J9" s="129" t="s">
        <v>26</v>
      </c>
      <c r="K9" s="130"/>
      <c r="L9" s="1"/>
    </row>
    <row r="10" spans="1:12" x14ac:dyDescent="0.25">
      <c r="A10" s="1"/>
      <c r="B10" s="69" t="s">
        <v>225</v>
      </c>
      <c r="C10" s="42">
        <v>0</v>
      </c>
      <c r="D10" s="9">
        <v>0</v>
      </c>
      <c r="E10" s="14" t="s">
        <v>3</v>
      </c>
      <c r="F10" s="9">
        <f>IFERROR(D10/C10,0)</f>
        <v>0</v>
      </c>
      <c r="G10" s="14" t="s">
        <v>3</v>
      </c>
      <c r="H10" s="38">
        <v>0</v>
      </c>
      <c r="I10" s="14" t="s">
        <v>3</v>
      </c>
      <c r="J10" s="38">
        <v>0</v>
      </c>
      <c r="K10" s="14" t="s">
        <v>3</v>
      </c>
      <c r="L10" s="1"/>
    </row>
    <row r="11" spans="1:12" x14ac:dyDescent="0.25">
      <c r="A11" s="1"/>
      <c r="B11" s="77" t="s">
        <v>222</v>
      </c>
      <c r="C11" s="78"/>
      <c r="D11" s="79"/>
      <c r="E11" s="79"/>
      <c r="F11" s="12">
        <f>SUM(F10:F10)</f>
        <v>0</v>
      </c>
      <c r="G11" s="12" t="s">
        <v>95</v>
      </c>
      <c r="H11" s="12">
        <f>SUM(H10:H10)</f>
        <v>0</v>
      </c>
      <c r="I11" s="12" t="s">
        <v>95</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OsgG3P3ynXWz4xvJk8eZy1YQRejG5z9NGGL9WXjJj+vdGvCQ21a//Mjsx5+pB+NI0rvAIuktmnrYbGPdxlGTnA==" saltValue="we52SlITdc2LdtM2oKqGfw=="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115</v>
      </c>
      <c r="C3" s="105"/>
      <c r="D3" s="105"/>
      <c r="E3" s="105"/>
      <c r="F3" s="105"/>
      <c r="G3" s="1"/>
    </row>
    <row r="4" spans="1:7" ht="15" customHeight="1" x14ac:dyDescent="0.25">
      <c r="A4" s="1"/>
      <c r="B4" s="105"/>
      <c r="C4" s="105"/>
      <c r="D4" s="105"/>
      <c r="E4" s="105"/>
      <c r="F4" s="10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1" t="s">
        <v>17</v>
      </c>
      <c r="C9" s="83" t="s">
        <v>11</v>
      </c>
      <c r="D9" s="82"/>
      <c r="E9" s="83" t="s">
        <v>27</v>
      </c>
      <c r="F9" s="32"/>
      <c r="G9" s="1"/>
    </row>
    <row r="10" spans="1:7" x14ac:dyDescent="0.25">
      <c r="A10" s="1"/>
      <c r="B10" s="24" t="s">
        <v>88</v>
      </c>
      <c r="C10" s="21">
        <f>'Fane 10. Anlægsprojekter (§ 19)'!H11</f>
        <v>0</v>
      </c>
      <c r="D10" s="14" t="s">
        <v>3</v>
      </c>
      <c r="E10" s="9">
        <f>'Fane 10. Anlægsprojekter (§ 19)'!F11+'Fane 10. Anlægsprojekter (§ 19)'!J11</f>
        <v>0</v>
      </c>
      <c r="F10" s="14" t="s">
        <v>3</v>
      </c>
      <c r="G10" s="1"/>
    </row>
    <row r="11" spans="1:7" x14ac:dyDescent="0.25">
      <c r="A11" s="1"/>
      <c r="B11" s="24" t="s">
        <v>238</v>
      </c>
      <c r="C11" s="21">
        <v>971277</v>
      </c>
      <c r="D11" s="14" t="s">
        <v>3</v>
      </c>
      <c r="E11" s="9">
        <v>898365</v>
      </c>
      <c r="F11" s="14" t="s">
        <v>3</v>
      </c>
      <c r="G11" s="1"/>
    </row>
    <row r="12" spans="1:7" x14ac:dyDescent="0.25">
      <c r="A12" s="1"/>
      <c r="B12" s="24"/>
      <c r="C12" s="21"/>
      <c r="D12" s="14" t="s">
        <v>3</v>
      </c>
      <c r="E12" s="9"/>
      <c r="F12" s="14" t="s">
        <v>3</v>
      </c>
      <c r="G12" s="1"/>
    </row>
    <row r="13" spans="1:7" x14ac:dyDescent="0.25">
      <c r="A13" s="1"/>
      <c r="B13" s="24"/>
      <c r="C13" s="21"/>
      <c r="D13" s="14" t="s">
        <v>3</v>
      </c>
      <c r="E13" s="9"/>
      <c r="F13" s="14" t="s">
        <v>3</v>
      </c>
      <c r="G13" s="1"/>
    </row>
    <row r="14" spans="1:7" x14ac:dyDescent="0.25">
      <c r="A14" s="1"/>
      <c r="B14" s="24"/>
      <c r="C14" s="21"/>
      <c r="D14" s="14" t="s">
        <v>3</v>
      </c>
      <c r="E14" s="9"/>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140</v>
      </c>
      <c r="C19" s="12">
        <f>SUM(C10:C18)</f>
        <v>971277</v>
      </c>
      <c r="D19" s="13" t="s">
        <v>3</v>
      </c>
      <c r="E19" s="12">
        <f>SUM(E10:E18)</f>
        <v>898365</v>
      </c>
      <c r="F19" s="13" t="s">
        <v>3</v>
      </c>
      <c r="G19" s="1"/>
    </row>
    <row r="20" spans="1:7" x14ac:dyDescent="0.25">
      <c r="A20" s="1"/>
      <c r="B20" s="33" t="s">
        <v>176</v>
      </c>
      <c r="C20" s="12">
        <f>C19*(1+'Fane 15. Nøgletal'!C10)</f>
        <v>1035672.6651</v>
      </c>
      <c r="D20" s="13" t="s">
        <v>3</v>
      </c>
      <c r="E20" s="12">
        <f>E19*(1+'Fane 15. Nøgletal'!C10)</f>
        <v>957926.59950000001</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py1XENTmPlzbWaFboRS+W2RcoIniWUSeBYhWoalx0NUQKNE9ilgmHfioIHra84E0p6D4cumpVJg9jhziqAps+Q==" saltValue="i95hK3CYX4dPVHR+XVewBA=="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116</v>
      </c>
      <c r="C3" s="105"/>
      <c r="D3" s="105"/>
      <c r="E3" s="105"/>
      <c r="F3" s="105"/>
      <c r="G3" s="1"/>
    </row>
    <row r="4" spans="1:7" ht="15" customHeight="1" x14ac:dyDescent="0.25">
      <c r="A4" s="1"/>
      <c r="B4" s="105"/>
      <c r="C4" s="105"/>
      <c r="D4" s="105"/>
      <c r="E4" s="105"/>
      <c r="F4" s="10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2" t="s">
        <v>177</v>
      </c>
      <c r="C8" s="113"/>
      <c r="D8" s="113"/>
      <c r="E8" s="113"/>
      <c r="F8" s="114"/>
      <c r="G8" s="1"/>
    </row>
    <row r="9" spans="1:7" x14ac:dyDescent="0.25">
      <c r="A9" s="1"/>
      <c r="B9" s="81" t="s">
        <v>17</v>
      </c>
      <c r="C9" s="83" t="s">
        <v>11</v>
      </c>
      <c r="D9" s="82"/>
      <c r="E9" s="83" t="s">
        <v>27</v>
      </c>
      <c r="F9" s="32"/>
      <c r="G9" s="1"/>
    </row>
    <row r="10" spans="1:7" x14ac:dyDescent="0.25">
      <c r="A10" s="1"/>
      <c r="B10" s="24" t="s">
        <v>239</v>
      </c>
      <c r="C10" s="21"/>
      <c r="D10" s="14" t="s">
        <v>3</v>
      </c>
      <c r="E10" s="9"/>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178</v>
      </c>
      <c r="C13" s="12">
        <f>SUM(C10:C12)</f>
        <v>0</v>
      </c>
      <c r="D13" s="13" t="s">
        <v>3</v>
      </c>
      <c r="E13" s="12">
        <f>SUM(E10:E12)</f>
        <v>0</v>
      </c>
      <c r="F13" s="13" t="s">
        <v>3</v>
      </c>
      <c r="G13" s="1"/>
    </row>
    <row r="14" spans="1:7" x14ac:dyDescent="0.25">
      <c r="A14" s="1"/>
      <c r="B14" s="33" t="s">
        <v>179</v>
      </c>
      <c r="C14" s="12">
        <f>C13*(1+'Fane 15. Nøgletal'!C10)^2</f>
        <v>0</v>
      </c>
      <c r="D14" s="13" t="s">
        <v>3</v>
      </c>
      <c r="E14" s="12">
        <f>E13*(1+'Fane 15. Nøgletal'!C10)^2</f>
        <v>0</v>
      </c>
      <c r="F14" s="13" t="s">
        <v>3</v>
      </c>
      <c r="G14" s="1"/>
    </row>
    <row r="15" spans="1:7" x14ac:dyDescent="0.25">
      <c r="A15" s="1"/>
      <c r="B15" s="1"/>
      <c r="C15" s="1"/>
      <c r="D15" s="1"/>
      <c r="E15" s="1"/>
      <c r="F15" s="1"/>
      <c r="G15" s="1"/>
    </row>
    <row r="16" spans="1:7" x14ac:dyDescent="0.25">
      <c r="A16" s="1"/>
      <c r="B16" s="131"/>
      <c r="C16" s="131"/>
      <c r="D16" s="131"/>
      <c r="E16" s="131"/>
      <c r="F16" s="131"/>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31"/>
      <c r="C29" s="131"/>
      <c r="D29" s="131"/>
      <c r="E29" s="131"/>
      <c r="F29" s="131"/>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k0euatH2Dm5C37wy19Uj0ONty9EKinQmp1d8Br+2OqSMkqteMV960nkXcd/EnahAyYCAxyZ3ETi3P3lKsOD2Sg==" saltValue="sxF8glcSBhWLRPPdpDuT0A=="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1" t="s">
        <v>117</v>
      </c>
      <c r="C3" s="111"/>
      <c r="D3" s="111"/>
      <c r="E3" s="1"/>
    </row>
    <row r="4" spans="1:5" ht="15" customHeight="1" x14ac:dyDescent="0.25">
      <c r="A4" s="1"/>
      <c r="B4" s="111"/>
      <c r="C4" s="111"/>
      <c r="D4" s="111"/>
      <c r="E4" s="1"/>
    </row>
    <row r="5" spans="1:5" x14ac:dyDescent="0.25">
      <c r="A5" s="1"/>
      <c r="B5" s="111"/>
      <c r="C5" s="111"/>
      <c r="D5" s="111"/>
      <c r="E5" s="1"/>
    </row>
    <row r="6" spans="1:5" x14ac:dyDescent="0.25">
      <c r="A6" s="1"/>
      <c r="B6" s="1"/>
      <c r="C6" s="1"/>
      <c r="D6" s="1"/>
      <c r="E6" s="1"/>
    </row>
    <row r="7" spans="1:5" x14ac:dyDescent="0.25">
      <c r="A7" s="1"/>
      <c r="B7" s="1"/>
      <c r="C7" s="1"/>
      <c r="D7" s="1"/>
      <c r="E7" s="1"/>
    </row>
    <row r="8" spans="1:5" ht="14.25" customHeight="1" x14ac:dyDescent="0.25">
      <c r="A8" s="1"/>
      <c r="B8" s="112" t="s">
        <v>74</v>
      </c>
      <c r="C8" s="113"/>
      <c r="D8" s="114"/>
      <c r="E8" s="1"/>
    </row>
    <row r="9" spans="1:5" x14ac:dyDescent="0.25">
      <c r="A9" s="1"/>
      <c r="B9" s="69" t="s">
        <v>180</v>
      </c>
      <c r="C9" s="9"/>
      <c r="D9" s="14" t="s">
        <v>3</v>
      </c>
      <c r="E9" s="1"/>
    </row>
    <row r="10" spans="1:5" x14ac:dyDescent="0.25">
      <c r="A10" s="1"/>
      <c r="B10" s="65" t="s">
        <v>10</v>
      </c>
      <c r="C10" s="9">
        <f>-C9*'Fane 5. Individuelt eff. krav'!C9</f>
        <v>0</v>
      </c>
      <c r="D10" s="14" t="s">
        <v>3</v>
      </c>
      <c r="E10" s="1"/>
    </row>
    <row r="11" spans="1:5" x14ac:dyDescent="0.25">
      <c r="A11" s="1"/>
      <c r="B11" s="65" t="s">
        <v>22</v>
      </c>
      <c r="C11" s="9">
        <f>-C9*'Fane 15. Nøgletal'!C21</f>
        <v>0</v>
      </c>
      <c r="D11" s="14" t="s">
        <v>3</v>
      </c>
      <c r="E11" s="1"/>
    </row>
    <row r="12" spans="1:5" x14ac:dyDescent="0.25">
      <c r="A12" s="1"/>
      <c r="B12" s="77" t="s">
        <v>75</v>
      </c>
      <c r="C12" s="12">
        <f>SUM(C9:C11)*(1+'Fane 15. Nøgletal'!C9)^2</f>
        <v>0</v>
      </c>
      <c r="D12" s="13" t="s">
        <v>3</v>
      </c>
      <c r="E12" s="1"/>
    </row>
    <row r="13" spans="1:5" x14ac:dyDescent="0.25">
      <c r="A13" s="1"/>
      <c r="B13" s="1"/>
      <c r="C13" s="1"/>
      <c r="D13" s="1"/>
      <c r="E13" s="1"/>
    </row>
    <row r="14" spans="1:5" ht="15" customHeight="1" x14ac:dyDescent="0.25">
      <c r="A14" s="1"/>
      <c r="B14" s="112" t="s">
        <v>85</v>
      </c>
      <c r="C14" s="113"/>
      <c r="D14" s="114"/>
      <c r="E14" s="1"/>
    </row>
    <row r="15" spans="1:5" x14ac:dyDescent="0.25">
      <c r="A15" s="1"/>
      <c r="B15" s="69" t="s">
        <v>180</v>
      </c>
      <c r="C15" s="9"/>
      <c r="D15" s="14" t="s">
        <v>3</v>
      </c>
      <c r="E15" s="1"/>
    </row>
    <row r="16" spans="1:5" x14ac:dyDescent="0.25">
      <c r="A16" s="1"/>
      <c r="B16" s="65" t="s">
        <v>10</v>
      </c>
      <c r="C16" s="9">
        <f>-C15*'Fane 5. Individuelt eff. krav'!C9</f>
        <v>0</v>
      </c>
      <c r="D16" s="14" t="s">
        <v>3</v>
      </c>
      <c r="E16" s="1"/>
    </row>
    <row r="17" spans="1:5" x14ac:dyDescent="0.25">
      <c r="A17" s="1"/>
      <c r="B17" s="65" t="s">
        <v>22</v>
      </c>
      <c r="C17" s="9">
        <f>-C15*'Fane 15. Nøgletal'!C21</f>
        <v>0</v>
      </c>
      <c r="D17" s="14" t="s">
        <v>3</v>
      </c>
      <c r="E17" s="1"/>
    </row>
    <row r="18" spans="1:5" x14ac:dyDescent="0.25">
      <c r="A18" s="1"/>
      <c r="B18" s="77" t="s">
        <v>86</v>
      </c>
      <c r="C18" s="12">
        <f>SUM(C15:C17)*(1+'Fane 15. Nøgletal'!C10)^3</f>
        <v>0</v>
      </c>
      <c r="D18" s="13" t="s">
        <v>3</v>
      </c>
      <c r="E18" s="1"/>
    </row>
    <row r="19" spans="1:5" x14ac:dyDescent="0.25">
      <c r="A19" s="1"/>
      <c r="B19" s="1"/>
      <c r="C19" s="1"/>
      <c r="D19" s="1"/>
      <c r="E19" s="1"/>
    </row>
    <row r="20" spans="1:5" ht="15" customHeight="1" x14ac:dyDescent="0.25">
      <c r="A20" s="1"/>
      <c r="B20" s="112" t="s">
        <v>141</v>
      </c>
      <c r="C20" s="113"/>
      <c r="D20" s="114"/>
      <c r="E20" s="1"/>
    </row>
    <row r="21" spans="1:5" x14ac:dyDescent="0.25">
      <c r="A21" s="1"/>
      <c r="B21" s="69" t="s">
        <v>180</v>
      </c>
      <c r="C21" s="9"/>
      <c r="D21" s="14" t="s">
        <v>3</v>
      </c>
      <c r="E21" s="1"/>
    </row>
    <row r="22" spans="1:5" x14ac:dyDescent="0.25">
      <c r="A22" s="1"/>
      <c r="B22" s="65" t="s">
        <v>10</v>
      </c>
      <c r="C22" s="9">
        <f>-C21*'Fane 5. Individuelt eff. krav'!C9</f>
        <v>0</v>
      </c>
      <c r="D22" s="14" t="s">
        <v>3</v>
      </c>
      <c r="E22" s="1"/>
    </row>
    <row r="23" spans="1:5" x14ac:dyDescent="0.25">
      <c r="A23" s="1"/>
      <c r="B23" s="65" t="s">
        <v>22</v>
      </c>
      <c r="C23" s="9">
        <f>-C21*'Fane 15. Nøgletal'!C21</f>
        <v>0</v>
      </c>
      <c r="D23" s="14" t="s">
        <v>3</v>
      </c>
      <c r="E23" s="1"/>
    </row>
    <row r="24" spans="1:5" x14ac:dyDescent="0.25">
      <c r="A24" s="1"/>
      <c r="B24" s="77" t="s">
        <v>142</v>
      </c>
      <c r="C24" s="12">
        <f>SUM(C21:C23)*(1+'Fane 15. Nøgletal'!C10)^4</f>
        <v>0</v>
      </c>
      <c r="D24" s="13" t="s">
        <v>3</v>
      </c>
      <c r="E24" s="1"/>
    </row>
    <row r="25" spans="1:5" x14ac:dyDescent="0.25">
      <c r="A25" s="1"/>
      <c r="B25" s="1"/>
      <c r="C25" s="1"/>
      <c r="D25" s="1"/>
      <c r="E25" s="1"/>
    </row>
    <row r="26" spans="1:5" ht="15" customHeight="1" x14ac:dyDescent="0.25">
      <c r="A26" s="1"/>
      <c r="B26" s="112" t="s">
        <v>181</v>
      </c>
      <c r="C26" s="113"/>
      <c r="D26" s="114"/>
      <c r="E26" s="1"/>
    </row>
    <row r="27" spans="1:5" ht="14.25" customHeight="1" x14ac:dyDescent="0.25">
      <c r="A27" s="1"/>
      <c r="B27" s="69" t="s">
        <v>180</v>
      </c>
      <c r="C27" s="9"/>
      <c r="D27" s="14" t="s">
        <v>3</v>
      </c>
      <c r="E27" s="1"/>
    </row>
    <row r="28" spans="1:5" x14ac:dyDescent="0.25">
      <c r="A28" s="1"/>
      <c r="B28" s="65" t="s">
        <v>10</v>
      </c>
      <c r="C28" s="9">
        <f>-C27*'Fane 5. Individuelt eff. krav'!C9</f>
        <v>0</v>
      </c>
      <c r="D28" s="14" t="s">
        <v>3</v>
      </c>
      <c r="E28" s="1"/>
    </row>
    <row r="29" spans="1:5" x14ac:dyDescent="0.25">
      <c r="A29" s="1"/>
      <c r="B29" s="65" t="s">
        <v>22</v>
      </c>
      <c r="C29" s="9">
        <f>-C27*'Fane 15. Nøgletal'!C21</f>
        <v>0</v>
      </c>
      <c r="D29" s="14" t="s">
        <v>3</v>
      </c>
      <c r="E29" s="1"/>
    </row>
    <row r="30" spans="1:5" x14ac:dyDescent="0.25">
      <c r="A30" s="1"/>
      <c r="B30" s="77" t="s">
        <v>182</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j191ECL22ibFcokHMOjSC+lmYVzurw5uwpZ0lqw1Z+hgRb7PnHTYsOWrNh5iYxAcxvM0N1P8SUs0/3GQPdn8/Q==" saltValue="tCtKfw7lB9myZARbJ80Iyw=="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1" t="s">
        <v>118</v>
      </c>
      <c r="C3" s="111"/>
      <c r="D3" s="111"/>
      <c r="E3" s="111"/>
      <c r="F3" s="111"/>
      <c r="G3" s="1"/>
    </row>
    <row r="4" spans="1:7" ht="15" customHeight="1" x14ac:dyDescent="0.25">
      <c r="A4" s="1"/>
      <c r="B4" s="111"/>
      <c r="C4" s="111"/>
      <c r="D4" s="111"/>
      <c r="E4" s="111"/>
      <c r="F4" s="111"/>
      <c r="G4" s="1"/>
    </row>
    <row r="5" spans="1:7" x14ac:dyDescent="0.25">
      <c r="A5" s="1"/>
      <c r="B5" s="111"/>
      <c r="C5" s="111"/>
      <c r="D5" s="111"/>
      <c r="E5" s="111"/>
      <c r="F5" s="111"/>
      <c r="G5" s="1"/>
    </row>
    <row r="6" spans="1:7" x14ac:dyDescent="0.25">
      <c r="A6" s="1"/>
      <c r="B6" s="1"/>
      <c r="C6" s="1"/>
      <c r="D6" s="1"/>
      <c r="E6" s="1"/>
      <c r="F6" s="1"/>
      <c r="G6" s="1"/>
    </row>
    <row r="7" spans="1:7" x14ac:dyDescent="0.25">
      <c r="A7" s="1"/>
      <c r="B7" s="1"/>
      <c r="C7" s="1"/>
      <c r="D7" s="1"/>
      <c r="E7" s="1"/>
      <c r="F7" s="1"/>
      <c r="G7" s="1"/>
    </row>
    <row r="8" spans="1:7" x14ac:dyDescent="0.25">
      <c r="A8" s="1"/>
      <c r="B8" s="112" t="s">
        <v>67</v>
      </c>
      <c r="C8" s="113"/>
      <c r="D8" s="113"/>
      <c r="E8" s="113"/>
      <c r="F8" s="114"/>
      <c r="G8" s="1"/>
    </row>
    <row r="9" spans="1:7" ht="15" customHeight="1" x14ac:dyDescent="0.25">
      <c r="A9" s="1"/>
      <c r="B9" s="31" t="s">
        <v>68</v>
      </c>
      <c r="C9" s="27" t="s">
        <v>11</v>
      </c>
      <c r="D9" s="32"/>
      <c r="E9" s="27" t="s">
        <v>27</v>
      </c>
      <c r="F9" s="32"/>
      <c r="G9" s="1"/>
    </row>
    <row r="10" spans="1:7" ht="26.25" x14ac:dyDescent="0.25">
      <c r="A10" s="1"/>
      <c r="B10" s="71" t="s">
        <v>223</v>
      </c>
      <c r="C10" s="9">
        <v>0</v>
      </c>
      <c r="D10" s="14" t="s">
        <v>3</v>
      </c>
      <c r="E10" s="9">
        <v>0</v>
      </c>
      <c r="F10" s="14" t="s">
        <v>3</v>
      </c>
      <c r="G10" s="1"/>
    </row>
    <row r="11" spans="1:7" ht="28.5" customHeight="1" x14ac:dyDescent="0.25">
      <c r="A11" s="1"/>
      <c r="B11" s="20" t="s">
        <v>143</v>
      </c>
      <c r="C11" s="12">
        <f>SUM(C10:C10)</f>
        <v>0</v>
      </c>
      <c r="D11" s="13" t="s">
        <v>3</v>
      </c>
      <c r="E11" s="12">
        <f>SUM(E10:E10)</f>
        <v>0</v>
      </c>
      <c r="F11" s="13" t="s">
        <v>3</v>
      </c>
      <c r="G11" s="1"/>
    </row>
    <row r="12" spans="1:7" ht="27" customHeight="1" x14ac:dyDescent="0.25">
      <c r="A12" s="1"/>
      <c r="B12" s="20" t="s">
        <v>183</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lMbNgd+uFKdlJ+DO7q0jzejNx5OSQZC1CiIgGq5LDiIcKX9jQcrHBEyGv6Mlz/+cD2UEQtk6WB3jGeCOSqPGUw==" saltValue="Ko3Ff0N6xo5MkvoIGtkvwg=="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1" t="s">
        <v>119</v>
      </c>
      <c r="C3" s="111"/>
      <c r="D3" s="111"/>
      <c r="E3" s="111"/>
      <c r="F3" s="111"/>
      <c r="G3" s="1"/>
    </row>
    <row r="4" spans="1:7" ht="15" customHeight="1" x14ac:dyDescent="0.25">
      <c r="A4" s="1"/>
      <c r="B4" s="111"/>
      <c r="C4" s="111"/>
      <c r="D4" s="111"/>
      <c r="E4" s="111"/>
      <c r="F4" s="111"/>
      <c r="G4" s="1"/>
    </row>
    <row r="5" spans="1:7" x14ac:dyDescent="0.25">
      <c r="A5" s="1"/>
      <c r="B5" s="111"/>
      <c r="C5" s="111"/>
      <c r="D5" s="111"/>
      <c r="E5" s="111"/>
      <c r="F5" s="111"/>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12" t="s">
        <v>184</v>
      </c>
      <c r="C8" s="113"/>
      <c r="D8" s="113"/>
      <c r="E8" s="113"/>
      <c r="F8" s="114"/>
      <c r="G8" s="1"/>
    </row>
    <row r="9" spans="1:7" x14ac:dyDescent="0.25">
      <c r="A9" s="1"/>
      <c r="B9" s="31" t="s">
        <v>18</v>
      </c>
      <c r="C9" s="132" t="s">
        <v>11</v>
      </c>
      <c r="D9" s="133"/>
      <c r="E9" s="132" t="s">
        <v>27</v>
      </c>
      <c r="F9" s="133"/>
      <c r="G9" s="1"/>
    </row>
    <row r="10" spans="1:7" x14ac:dyDescent="0.25">
      <c r="A10" s="1"/>
      <c r="B10" s="71" t="s">
        <v>224</v>
      </c>
      <c r="C10" s="9">
        <v>0</v>
      </c>
      <c r="D10" s="14" t="s">
        <v>3</v>
      </c>
      <c r="E10" s="9">
        <v>0</v>
      </c>
      <c r="F10" s="14" t="s">
        <v>3</v>
      </c>
      <c r="G10" s="1"/>
    </row>
    <row r="11" spans="1:7" x14ac:dyDescent="0.25">
      <c r="A11" s="1"/>
      <c r="B11" s="33" t="s">
        <v>144</v>
      </c>
      <c r="C11" s="12">
        <f>SUM(C10:C10)</f>
        <v>0</v>
      </c>
      <c r="D11" s="13" t="s">
        <v>3</v>
      </c>
      <c r="E11" s="12">
        <f>SUM(E10:E10)</f>
        <v>0</v>
      </c>
      <c r="F11" s="13" t="s">
        <v>3</v>
      </c>
      <c r="G11" s="1"/>
    </row>
    <row r="12" spans="1:7" x14ac:dyDescent="0.25">
      <c r="A12" s="1"/>
      <c r="B12" s="33" t="s">
        <v>217</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31"/>
      <c r="C14" s="131"/>
      <c r="D14" s="131"/>
      <c r="E14" s="131"/>
      <c r="F14" s="131"/>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31"/>
      <c r="C21" s="131"/>
      <c r="D21" s="131"/>
      <c r="E21" s="131"/>
      <c r="F21" s="131"/>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31"/>
      <c r="C27" s="131"/>
      <c r="D27" s="131"/>
      <c r="E27" s="131"/>
      <c r="F27" s="131"/>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u3GwOjbQH4kil4Z3Jbvrm5ke92aavLJYDeDhCYUrfbKr5gtehpVHaSX84tbHCAt97cvyURPZEpyje4P2QRgxcw==" saltValue="W499XucPI9GNv+EIuCBlGA=="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11" t="s">
        <v>120</v>
      </c>
      <c r="C3" s="111"/>
      <c r="D3" s="1"/>
    </row>
    <row r="4" spans="1:4" ht="15" customHeight="1" x14ac:dyDescent="0.25">
      <c r="A4" s="1"/>
      <c r="B4" s="111"/>
      <c r="C4" s="111"/>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123</v>
      </c>
      <c r="C9" s="61">
        <v>8.0799999999999997E-2</v>
      </c>
      <c r="D9" s="1"/>
    </row>
    <row r="10" spans="1:4" x14ac:dyDescent="0.25">
      <c r="A10" s="1"/>
      <c r="B10" s="59" t="s">
        <v>229</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51</v>
      </c>
      <c r="C14" s="19"/>
      <c r="D14" s="1"/>
    </row>
    <row r="15" spans="1:4" x14ac:dyDescent="0.25">
      <c r="A15" s="1"/>
      <c r="B15" s="59" t="s">
        <v>216</v>
      </c>
      <c r="C15" s="60">
        <v>0</v>
      </c>
      <c r="D15" s="1"/>
    </row>
    <row r="16" spans="1:4" x14ac:dyDescent="0.25">
      <c r="A16" s="1"/>
      <c r="B16" s="59" t="s">
        <v>230</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52</v>
      </c>
      <c r="C20" s="19"/>
      <c r="D20" s="1"/>
    </row>
    <row r="21" spans="1:4" x14ac:dyDescent="0.25">
      <c r="A21" s="1"/>
      <c r="B21" s="37" t="s">
        <v>60</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4WYXie/mn8LPLyRqdi65HWEIMjoj1T9uzWKn/HaSjsfuSrRH0l2offR+kkE4h2ByYHpjpta6f3T+8DQMW+OAmg==" saltValue="JrVnwvZKk0FzJx0NL5RBmA=="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2024-08-21T11:42:59Z</dcterms:modified>
</cp:coreProperties>
</file>