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Ringsted Centralrenseanlæg AS (S078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4" i="19"/>
  <c r="E28" i="20" l="1"/>
  <c r="E22" i="20"/>
  <c r="E16" i="20"/>
  <c r="E10" i="20"/>
  <c r="E10" i="11" l="1"/>
  <c r="G8" i="30" l="1"/>
  <c r="G12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3" i="36" s="1"/>
  <c r="C17" i="21"/>
  <c r="C18" i="21" s="1"/>
  <c r="G46" i="30" s="1"/>
  <c r="E30" i="21" l="1"/>
  <c r="G60" i="36" s="1"/>
  <c r="C30" i="21"/>
  <c r="G60" i="30" s="1"/>
  <c r="E24" i="21"/>
  <c r="G54" i="36" s="1"/>
  <c r="C24" i="21"/>
  <c r="G54" i="30" s="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C23" i="15" s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4" i="23" l="1"/>
  <c r="C24" i="22"/>
  <c r="C24" i="15"/>
  <c r="C28" i="2"/>
  <c r="G6" i="36" l="1"/>
  <c r="G10" i="36" l="1"/>
  <c r="G13" i="36" l="1"/>
  <c r="G17" i="36" l="1"/>
  <c r="G19" i="36" s="1"/>
  <c r="G16" i="30"/>
  <c r="G20" i="30" s="1"/>
  <c r="G23" i="36" l="1"/>
  <c r="G25" i="36" s="1"/>
  <c r="G22" i="30"/>
  <c r="G29" i="36" l="1"/>
  <c r="G26" i="30"/>
  <c r="G31" i="36" l="1"/>
  <c r="F11" i="11"/>
  <c r="C10" i="37" s="1"/>
  <c r="C11" i="37" s="1"/>
  <c r="C12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5" i="19"/>
  <c r="C18" i="23" l="1"/>
  <c r="C18" i="22"/>
  <c r="C18" i="15"/>
  <c r="C15" i="2"/>
  <c r="C14" i="2"/>
  <c r="C22" i="2"/>
  <c r="C12" i="2"/>
  <c r="G39" i="30" s="1"/>
  <c r="G45" i="30" s="1"/>
  <c r="C13" i="2"/>
  <c r="G28" i="30" l="1"/>
  <c r="G32" i="30" l="1"/>
  <c r="E11" i="11"/>
  <c r="E10" i="37" s="1"/>
  <c r="E11" i="37" s="1"/>
  <c r="E12" i="37" s="1"/>
  <c r="C11" i="2" l="1"/>
  <c r="G36" i="36" s="1"/>
  <c r="G34" i="30"/>
  <c r="E18" i="27" s="1"/>
  <c r="G42" i="36" l="1"/>
  <c r="G37" i="36"/>
  <c r="G41" i="36" s="1"/>
  <c r="G38" i="30"/>
  <c r="E20" i="27"/>
  <c r="E33" i="27" s="1"/>
  <c r="C9" i="2" l="1"/>
  <c r="C16" i="2" s="1"/>
  <c r="G40" i="30"/>
  <c r="G44" i="30" s="1"/>
  <c r="G47" i="30" s="1"/>
  <c r="G53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5" i="30"/>
  <c r="C12" i="22" l="1"/>
  <c r="C13" i="22" s="1"/>
  <c r="C14" i="22"/>
  <c r="G59" i="30"/>
  <c r="G61" i="30" s="1"/>
  <c r="C14" i="23" s="1"/>
  <c r="C16" i="22" l="1"/>
  <c r="C9" i="23" l="1"/>
  <c r="C12" i="23" s="1"/>
  <c r="C27" i="22"/>
  <c r="C13" i="23" l="1"/>
  <c r="C16" i="23" s="1"/>
  <c r="C27" i="23" s="1"/>
</calcChain>
</file>

<file path=xl/sharedStrings.xml><?xml version="1.0" encoding="utf-8"?>
<sst xmlns="http://schemas.openxmlformats.org/spreadsheetml/2006/main" count="704" uniqueCount="285">
  <si>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</si>
  <si>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</si>
  <si>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</si>
  <si>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</si>
  <si>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</si>
  <si>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</si>
  <si>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</si>
  <si>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</si>
  <si>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</si>
  <si>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</si>
  <si>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</si>
  <si>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</si>
  <si>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</si>
  <si>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</si>
  <si>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</si>
  <si>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</si>
  <si>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</si>
  <si>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</si>
  <si>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</si>
  <si>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</si>
  <si>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</si>
  <si>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</si>
  <si>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</si>
  <si>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</si>
  <si>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</si>
  <si>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</si>
  <si>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</si>
  <si>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</si>
  <si>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</si>
  <si>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</si>
  <si>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</si>
  <si>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</si>
  <si>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</si>
  <si>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</si>
  <si>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</si>
  <si>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</si>
  <si>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</si>
  <si>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</si>
  <si>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</si>
  <si>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</si>
  <si>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</si>
  <si>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</si>
  <si>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</si>
  <si>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</si>
  <si>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</si>
  <si>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</si>
  <si>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</si>
  <si>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</si>
  <si>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</si>
  <si>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</si>
  <si>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</si>
  <si>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</si>
  <si>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</si>
  <si>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</si>
  <si>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</si>
  <si>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</si>
  <si>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</si>
  <si>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</si>
  <si>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</si>
  <si>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</si>
  <si>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</si>
  <si>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</si>
  <si>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</si>
  <si>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</si>
  <si>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</si>
  <si>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</si>
  <si>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</si>
  <si>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</si>
  <si>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</si>
  <si>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</si>
  <si>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</si>
  <si>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</si>
  <si>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</si>
  <si>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</si>
  <si>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</si>
  <si>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</si>
  <si>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</si>
  <si>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</si>
  <si>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</si>
  <si>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</si>
  <si>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</si>
  <si>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</si>
  <si>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</si>
  <si>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</si>
  <si>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</si>
  <si>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</si>
  <si>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</si>
  <si>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</si>
  <si>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</si>
  <si>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</si>
  <si>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</si>
  <si>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</si>
  <si>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</si>
  <si>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</si>
  <si>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</si>
  <si>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</si>
  <si>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</si>
  <si>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</si>
  <si>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</si>
  <si>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</si>
  <si>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</si>
  <si>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</si>
  <si>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</si>
  <si>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</si>
  <si>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</si>
  <si>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</si>
  <si>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</si>
  <si>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</si>
  <si>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</si>
  <si>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</si>
  <si>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</si>
  <si>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</si>
  <si>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</si>
  <si>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</si>
  <si>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</si>
  <si>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</si>
  <si>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</si>
  <si>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</si>
  <si>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</si>
  <si>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</si>
  <si>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</si>
  <si>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</si>
  <si>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</si>
  <si>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</si>
  <si>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</si>
  <si>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</si>
  <si>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</si>
  <si>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</si>
  <si>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</si>
  <si>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</si>
  <si>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</si>
  <si>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</si>
  <si>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</si>
  <si>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</si>
  <si>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</si>
  <si>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</si>
  <si>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</si>
  <si>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</si>
  <si>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</si>
  <si>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</si>
  <si>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</si>
  <si>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</si>
  <si>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</si>
  <si>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</si>
  <si>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</si>
  <si>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</si>
  <si>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</si>
  <si>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</si>
  <si>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</si>
  <si>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</si>
  <si>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</si>
  <si>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</si>
  <si>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</si>
  <si>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</si>
  <si>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</si>
  <si>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</si>
  <si>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</si>
  <si>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</si>
  <si>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</si>
  <si>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</si>
  <si>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</si>
  <si>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</si>
  <si>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</si>
  <si>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</si>
  <si>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</si>
  <si>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</si>
  <si>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</si>
  <si>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</si>
  <si>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</si>
  <si>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</si>
  <si>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</si>
  <si>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</si>
  <si>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</si>
  <si>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</si>
  <si>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</si>
  <si>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</si>
  <si>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</si>
  <si>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</si>
  <si>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</si>
  <si>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</si>
  <si>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</si>
  <si>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</si>
  <si>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</si>
  <si>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</si>
  <si>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</si>
  <si>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</si>
  <si>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</si>
  <si>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</si>
  <si>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</si>
  <si>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</si>
  <si>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</si>
  <si>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</si>
  <si>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</si>
  <si>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</si>
  <si>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</si>
  <si>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</si>
  <si>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</si>
  <si>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</si>
  <si>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</si>
  <si>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</si>
  <si>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</si>
  <si>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</si>
  <si>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</si>
  <si>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</si>
  <si>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</si>
  <si>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</si>
  <si>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</si>
  <si>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</si>
  <si>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</si>
  <si>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</si>
  <si>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</si>
  <si>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</si>
  <si>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</si>
  <si>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</si>
  <si>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</si>
  <si>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</si>
  <si>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</si>
  <si>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</si>
  <si>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</si>
  <si>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</si>
  <si>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</si>
  <si>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</si>
  <si>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</si>
  <si>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</si>
  <si>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</si>
  <si>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</si>
  <si>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</si>
  <si>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</si>
  <si>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</si>
  <si>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</si>
  <si>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</si>
  <si>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</si>
  <si>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</si>
  <si>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</si>
  <si>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</si>
  <si>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</si>
  <si>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</si>
  <si>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</si>
  <si>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</si>
  <si>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</si>
  <si>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</si>
  <si>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</si>
  <si>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</si>
  <si>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</si>
  <si>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</si>
  <si>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</si>
  <si>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</si>
  <si>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</si>
  <si>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</si>
  <si>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</si>
  <si>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</si>
  <si>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</si>
  <si>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</si>
  <si>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</si>
  <si>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</si>
  <si>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</si>
  <si>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</si>
  <si>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</si>
  <si>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</si>
  <si>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</si>
  <si>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</si>
  <si>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</si>
  <si>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</si>
  <si>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</si>
  <si>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</si>
  <si>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</si>
  <si>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</si>
  <si>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</si>
  <si>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</si>
  <si>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</si>
  <si>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</si>
  <si>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</si>
  <si>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</si>
  <si>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</si>
  <si>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</si>
  <si>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</si>
  <si>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</si>
  <si>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</si>
  <si>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</si>
  <si>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</si>
  <si>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</si>
  <si>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engangstillæg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</si>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</sst>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0" t="s">
        <v>4</v>
      </c>
      <c r="E6" s="80"/>
      <c r="F6" s="80"/>
      <c r="G6" s="80"/>
      <c r="H6" s="3"/>
      <c r="I6" s="1"/>
    </row>
    <row r="7" spans="1:9" ht="15" customHeight="1" x14ac:dyDescent="0.25">
      <c r="A7" s="1"/>
      <c r="B7" s="1"/>
      <c r="C7" s="3"/>
      <c r="D7" s="80"/>
      <c r="E7" s="80"/>
      <c r="F7" s="80"/>
      <c r="G7" s="80"/>
      <c r="H7" s="3"/>
      <c r="I7" s="1"/>
    </row>
    <row r="8" spans="1:9" ht="15.75" x14ac:dyDescent="0.25">
      <c r="A8" s="1"/>
      <c r="B8" s="1"/>
      <c r="C8" s="4"/>
      <c r="D8" s="85" t="s">
        <v>283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7" t="s">
        <v>245</v>
      </c>
      <c r="E13" s="78"/>
      <c r="F13" s="78"/>
      <c r="G13" s="79"/>
      <c r="H13" s="1"/>
      <c r="I13" s="1"/>
    </row>
    <row r="14" spans="1:9" x14ac:dyDescent="0.25">
      <c r="A14" s="1"/>
      <c r="B14" s="1"/>
      <c r="C14" s="6" t="s">
        <v>17</v>
      </c>
      <c r="D14" s="77" t="s">
        <v>246</v>
      </c>
      <c r="E14" s="78"/>
      <c r="F14" s="78"/>
      <c r="G14" s="79"/>
      <c r="H14" s="1"/>
      <c r="I14" s="1"/>
    </row>
    <row r="15" spans="1:9" x14ac:dyDescent="0.25">
      <c r="A15" s="1"/>
      <c r="B15" s="1"/>
      <c r="C15" s="6" t="s">
        <v>37</v>
      </c>
      <c r="D15" s="77" t="s">
        <v>160</v>
      </c>
      <c r="E15" s="78"/>
      <c r="F15" s="78"/>
      <c r="G15" s="79"/>
      <c r="H15" s="1"/>
      <c r="I15" s="1"/>
    </row>
    <row r="16" spans="1:9" x14ac:dyDescent="0.25">
      <c r="A16" s="1"/>
      <c r="B16" s="1"/>
      <c r="C16" s="6" t="s">
        <v>38</v>
      </c>
      <c r="D16" s="77" t="s">
        <v>247</v>
      </c>
      <c r="E16" s="78"/>
      <c r="F16" s="78"/>
      <c r="G16" s="79"/>
      <c r="H16" s="1"/>
      <c r="I16" s="1"/>
    </row>
    <row r="17" spans="1:9" x14ac:dyDescent="0.25">
      <c r="A17" s="1"/>
      <c r="B17" s="1"/>
      <c r="C17" s="6" t="s">
        <v>144</v>
      </c>
      <c r="D17" s="77" t="s">
        <v>248</v>
      </c>
      <c r="E17" s="78"/>
      <c r="F17" s="78"/>
      <c r="G17" s="79"/>
      <c r="H17" s="1"/>
      <c r="I17" s="1"/>
    </row>
    <row r="18" spans="1:9" x14ac:dyDescent="0.25">
      <c r="A18" s="1"/>
      <c r="B18" s="1"/>
      <c r="C18" s="6" t="s">
        <v>124</v>
      </c>
      <c r="D18" s="74" t="s">
        <v>110</v>
      </c>
      <c r="E18" s="75"/>
      <c r="F18" s="75"/>
      <c r="G18" s="76"/>
      <c r="H18" s="1"/>
      <c r="I18" s="1"/>
    </row>
    <row r="19" spans="1:9" x14ac:dyDescent="0.25">
      <c r="A19" s="1"/>
      <c r="B19" s="1"/>
      <c r="C19" s="6" t="s">
        <v>125</v>
      </c>
      <c r="D19" s="74" t="s">
        <v>111</v>
      </c>
      <c r="E19" s="75"/>
      <c r="F19" s="75"/>
      <c r="G19" s="76"/>
      <c r="H19" s="1"/>
      <c r="I19" s="1"/>
    </row>
    <row r="20" spans="1:9" x14ac:dyDescent="0.25">
      <c r="A20" s="1"/>
      <c r="B20" s="1"/>
      <c r="C20" s="6" t="s">
        <v>7</v>
      </c>
      <c r="D20" s="74" t="s">
        <v>10</v>
      </c>
      <c r="E20" s="75"/>
      <c r="F20" s="75"/>
      <c r="G20" s="76"/>
      <c r="H20" s="1"/>
      <c r="I20" s="1"/>
    </row>
    <row r="21" spans="1:9" x14ac:dyDescent="0.25">
      <c r="A21" s="1"/>
      <c r="B21" s="1"/>
      <c r="C21" s="6" t="s">
        <v>126</v>
      </c>
      <c r="D21" s="81" t="s">
        <v>13</v>
      </c>
      <c r="E21" s="82"/>
      <c r="F21" s="82"/>
      <c r="G21" s="83"/>
      <c r="H21" s="1"/>
      <c r="I21" s="1"/>
    </row>
    <row r="22" spans="1:9" x14ac:dyDescent="0.25">
      <c r="A22" s="1"/>
      <c r="B22" s="1"/>
      <c r="C22" s="6" t="s">
        <v>91</v>
      </c>
      <c r="D22" s="68" t="s">
        <v>249</v>
      </c>
      <c r="E22" s="69"/>
      <c r="F22" s="69"/>
      <c r="G22" s="70"/>
      <c r="H22" s="1"/>
      <c r="I22" s="1"/>
    </row>
    <row r="23" spans="1:9" x14ac:dyDescent="0.25">
      <c r="A23" s="1"/>
      <c r="B23" s="1"/>
      <c r="C23" s="6" t="s">
        <v>8</v>
      </c>
      <c r="D23" s="68" t="s">
        <v>195</v>
      </c>
      <c r="E23" s="69"/>
      <c r="F23" s="69"/>
      <c r="G23" s="70"/>
      <c r="H23" s="1"/>
      <c r="I23" s="1"/>
    </row>
    <row r="24" spans="1:9" x14ac:dyDescent="0.25">
      <c r="A24" s="1"/>
      <c r="B24" s="1"/>
      <c r="C24" s="6" t="s">
        <v>9</v>
      </c>
      <c r="D24" s="68" t="s">
        <v>39</v>
      </c>
      <c r="E24" s="69"/>
      <c r="F24" s="69"/>
      <c r="G24" s="70"/>
      <c r="H24" s="1"/>
      <c r="I24" s="1"/>
    </row>
    <row r="25" spans="1:9" x14ac:dyDescent="0.25">
      <c r="A25" s="1"/>
      <c r="B25" s="1"/>
      <c r="C25" s="6" t="s">
        <v>127</v>
      </c>
      <c r="D25" s="68" t="s">
        <v>92</v>
      </c>
      <c r="E25" s="69"/>
      <c r="F25" s="69"/>
      <c r="G25" s="70"/>
      <c r="H25" s="1"/>
      <c r="I25" s="1"/>
    </row>
    <row r="26" spans="1:9" x14ac:dyDescent="0.25">
      <c r="A26" s="1"/>
      <c r="B26" s="1"/>
      <c r="C26" s="6" t="s">
        <v>128</v>
      </c>
      <c r="D26" s="68" t="s">
        <v>93</v>
      </c>
      <c r="E26" s="69"/>
      <c r="F26" s="69"/>
      <c r="G26" s="70"/>
      <c r="H26" s="1"/>
      <c r="I26" s="1"/>
    </row>
    <row r="27" spans="1:9" x14ac:dyDescent="0.25">
      <c r="A27" s="1"/>
      <c r="B27" s="1"/>
      <c r="C27" s="6" t="s">
        <v>129</v>
      </c>
      <c r="D27" s="68" t="s">
        <v>94</v>
      </c>
      <c r="E27" s="69"/>
      <c r="F27" s="69"/>
      <c r="G27" s="70"/>
      <c r="H27" s="1"/>
      <c r="I27" s="1"/>
    </row>
    <row r="28" spans="1:9" x14ac:dyDescent="0.25">
      <c r="A28" s="1"/>
      <c r="B28" s="1"/>
      <c r="C28" s="6" t="s">
        <v>16</v>
      </c>
      <c r="D28" s="68" t="s">
        <v>161</v>
      </c>
      <c r="E28" s="69"/>
      <c r="F28" s="69"/>
      <c r="G28" s="70"/>
      <c r="H28" s="1"/>
      <c r="I28" s="1"/>
    </row>
    <row r="29" spans="1:9" x14ac:dyDescent="0.25">
      <c r="A29" s="1"/>
      <c r="B29" s="1"/>
      <c r="C29" s="6" t="s">
        <v>41</v>
      </c>
      <c r="D29" s="68" t="s">
        <v>40</v>
      </c>
      <c r="E29" s="69"/>
      <c r="F29" s="69"/>
      <c r="G29" s="70"/>
      <c r="H29" s="1"/>
      <c r="I29" s="1"/>
    </row>
    <row r="30" spans="1:9" x14ac:dyDescent="0.25">
      <c r="A30" s="1"/>
      <c r="B30" s="1"/>
      <c r="C30" s="6" t="s">
        <v>42</v>
      </c>
      <c r="D30" s="71" t="s">
        <v>123</v>
      </c>
      <c r="E30" s="72"/>
      <c r="F30" s="72"/>
      <c r="G30" s="73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ib3FTbbqyh23/0hZ2heGQvcAIgWhcbZKDpAh/XUKqw9DgFPdaQxmvcKX12L9QHjBoyOpeibAvXOmO2eWp0SeA==" saltValue="Mw2EOfU+VDXWUQKrir2z8g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6" t="s">
        <v>132</v>
      </c>
      <c r="C3" s="86"/>
      <c r="D3" s="86"/>
      <c r="E3" s="1"/>
      <c r="F3" s="1"/>
    </row>
    <row r="4" spans="1:6" ht="15" customHeight="1" x14ac:dyDescent="0.25">
      <c r="A4" s="1"/>
      <c r="B4" s="86"/>
      <c r="C4" s="86"/>
      <c r="D4" s="8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8" t="s">
        <v>208</v>
      </c>
      <c r="C8" s="99"/>
      <c r="D8" s="100"/>
      <c r="E8" s="1"/>
      <c r="F8" s="1"/>
    </row>
    <row r="9" spans="1:6" ht="15" customHeight="1" x14ac:dyDescent="0.2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25">
      <c r="A10" s="1"/>
      <c r="B10" s="62" t="s">
        <v>262</v>
      </c>
      <c r="C10" s="9">
        <v>837952</v>
      </c>
      <c r="D10" s="14" t="s">
        <v>3</v>
      </c>
      <c r="E10" s="1"/>
      <c r="F10" s="1"/>
    </row>
    <row r="11" spans="1:6" x14ac:dyDescent="0.25">
      <c r="A11" s="1"/>
      <c r="B11" s="62" t="s">
        <v>263</v>
      </c>
      <c r="C11" s="9">
        <v>75017</v>
      </c>
      <c r="D11" s="14" t="s">
        <v>3</v>
      </c>
      <c r="E11" s="1"/>
      <c r="F11" s="1"/>
    </row>
    <row r="12" spans="1:6" x14ac:dyDescent="0.25">
      <c r="A12" s="1"/>
      <c r="B12" s="62" t="s">
        <v>264</v>
      </c>
      <c r="C12" s="9">
        <v>517</v>
      </c>
      <c r="D12" s="14" t="s">
        <v>3</v>
      </c>
      <c r="E12" s="1"/>
      <c r="F12" s="1"/>
    </row>
    <row r="13" spans="1:6" x14ac:dyDescent="0.25">
      <c r="A13" s="1"/>
      <c r="B13" s="62" t="s">
        <v>265</v>
      </c>
      <c r="C13" s="9">
        <v>116318</v>
      </c>
      <c r="D13" s="14" t="s">
        <v>3</v>
      </c>
      <c r="E13" s="1"/>
      <c r="F13" s="1"/>
    </row>
    <row r="14" spans="1:6" x14ac:dyDescent="0.25">
      <c r="A14" s="1"/>
      <c r="B14" s="38" t="s">
        <v>209</v>
      </c>
      <c r="C14" s="12">
        <f>SUM(C10:C13)</f>
        <v>1029804</v>
      </c>
      <c r="D14" s="13" t="s">
        <v>3</v>
      </c>
      <c r="E14" s="1"/>
      <c r="F14" s="1"/>
    </row>
    <row r="15" spans="1:6" x14ac:dyDescent="0.25">
      <c r="A15" s="1"/>
      <c r="B15" s="38" t="s">
        <v>210</v>
      </c>
      <c r="C15" s="12">
        <f>C14*(1+'Fane 14. Nøgletal'!C14)^2</f>
        <v>1036611.9209655601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98" t="s">
        <v>142</v>
      </c>
      <c r="C18" s="99"/>
      <c r="D18" s="100"/>
      <c r="E18" s="1"/>
      <c r="F18" s="1"/>
    </row>
    <row r="19" spans="1:6" x14ac:dyDescent="0.25">
      <c r="A19" s="1"/>
      <c r="B19" s="62" t="s">
        <v>116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62" t="s">
        <v>117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62" t="s">
        <v>154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62" t="s">
        <v>211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98"/>
      <c r="C23" s="99"/>
      <c r="D23" s="100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98" t="s">
        <v>115</v>
      </c>
      <c r="C26" s="99"/>
      <c r="D26" s="100"/>
      <c r="E26" s="1"/>
      <c r="F26" s="1"/>
    </row>
    <row r="27" spans="1:6" x14ac:dyDescent="0.25">
      <c r="A27" s="1"/>
      <c r="B27" s="62" t="s">
        <v>116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62" t="s">
        <v>117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62" t="s">
        <v>154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62" t="s">
        <v>211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98"/>
      <c r="C31" s="99"/>
      <c r="D31" s="100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5a+liuEnkhhRHiANH14wvGXv5/yrzJfQURMcPT/J4TDR/30GC3e6D9WBgrkuXnGTk8ILsD8zBlE9QQrnDN4JMg==" saltValue="Cb9yfOBH+ulZwRxYKCFfeQ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2.2851562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1" t="s">
        <v>212</v>
      </c>
      <c r="C3" s="91"/>
      <c r="D3" s="91"/>
      <c r="E3" s="91"/>
      <c r="F3" s="91"/>
      <c r="G3" s="1"/>
    </row>
    <row r="4" spans="1:7" ht="15" customHeight="1" x14ac:dyDescent="0.25">
      <c r="A4" s="1"/>
      <c r="B4" s="91"/>
      <c r="C4" s="91"/>
      <c r="D4" s="91"/>
      <c r="E4" s="91"/>
      <c r="F4" s="91"/>
      <c r="G4" s="1"/>
    </row>
    <row r="5" spans="1:7" ht="15" customHeight="1" x14ac:dyDescent="0.25">
      <c r="A5" s="1"/>
      <c r="B5" s="58"/>
      <c r="C5" s="58"/>
      <c r="D5" s="58"/>
      <c r="E5" s="58"/>
      <c r="F5" s="58"/>
      <c r="G5" s="1"/>
    </row>
    <row r="6" spans="1:7" ht="15" customHeight="1" x14ac:dyDescent="0.25">
      <c r="A6" s="1"/>
      <c r="B6" s="58"/>
      <c r="C6" s="58"/>
      <c r="D6" s="58"/>
      <c r="E6" s="58"/>
      <c r="F6" s="58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267</v>
      </c>
      <c r="C8" s="99"/>
      <c r="D8" s="99"/>
      <c r="E8" s="99"/>
      <c r="F8" s="100"/>
      <c r="G8" s="1"/>
    </row>
    <row r="9" spans="1:7" x14ac:dyDescent="0.25">
      <c r="A9" s="1"/>
      <c r="B9" s="103" t="s">
        <v>268</v>
      </c>
      <c r="C9" s="104"/>
      <c r="D9" s="105"/>
      <c r="E9" s="9">
        <v>1161686.850271672</v>
      </c>
      <c r="F9" s="14" t="s">
        <v>3</v>
      </c>
      <c r="G9" s="1"/>
    </row>
    <row r="10" spans="1:7" x14ac:dyDescent="0.25">
      <c r="A10" s="1"/>
      <c r="B10" s="103" t="s">
        <v>269</v>
      </c>
      <c r="C10" s="104"/>
      <c r="D10" s="105"/>
      <c r="E10" s="9">
        <v>498882.39613818005</v>
      </c>
      <c r="F10" s="14" t="s">
        <v>3</v>
      </c>
      <c r="G10" s="1"/>
    </row>
    <row r="11" spans="1:7" x14ac:dyDescent="0.25">
      <c r="A11" s="1"/>
      <c r="B11" s="103" t="s">
        <v>270</v>
      </c>
      <c r="C11" s="104"/>
      <c r="D11" s="105"/>
      <c r="E11" s="9">
        <v>498882.39613818005</v>
      </c>
      <c r="F11" s="14" t="s">
        <v>3</v>
      </c>
      <c r="G11" s="1"/>
    </row>
    <row r="12" spans="1:7" x14ac:dyDescent="0.25">
      <c r="A12" s="1"/>
      <c r="B12" s="103" t="s">
        <v>271</v>
      </c>
      <c r="C12" s="104"/>
      <c r="D12" s="105"/>
      <c r="E12" s="9">
        <v>1047295.215222273</v>
      </c>
      <c r="F12" s="14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51.75" customHeight="1" x14ac:dyDescent="0.25">
      <c r="A14" s="1"/>
      <c r="B14" s="88" t="s">
        <v>272</v>
      </c>
      <c r="C14" s="89"/>
      <c r="D14" s="89"/>
      <c r="E14" s="89"/>
      <c r="F14" s="90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8" t="s">
        <v>273</v>
      </c>
      <c r="C16" s="99"/>
      <c r="D16" s="99"/>
      <c r="E16" s="99"/>
      <c r="F16" s="100"/>
      <c r="G16" s="1"/>
    </row>
    <row r="17" spans="1:7" x14ac:dyDescent="0.25">
      <c r="A17" s="1"/>
      <c r="B17" s="103" t="s">
        <v>274</v>
      </c>
      <c r="C17" s="104"/>
      <c r="D17" s="105"/>
      <c r="E17" s="9">
        <v>0</v>
      </c>
      <c r="F17" s="14" t="s">
        <v>3</v>
      </c>
      <c r="G17" s="1"/>
    </row>
    <row r="18" spans="1:7" x14ac:dyDescent="0.25">
      <c r="A18" s="1"/>
      <c r="B18" s="103" t="s">
        <v>275</v>
      </c>
      <c r="C18" s="104"/>
      <c r="D18" s="105"/>
      <c r="E18" s="9">
        <v>0</v>
      </c>
      <c r="F18" s="14" t="s">
        <v>3</v>
      </c>
      <c r="G18" s="1"/>
    </row>
    <row r="19" spans="1:7" x14ac:dyDescent="0.25">
      <c r="A19" s="1"/>
      <c r="B19" s="38"/>
      <c r="C19" s="32"/>
      <c r="D19" s="32"/>
      <c r="E19" s="32"/>
      <c r="F19" s="20"/>
      <c r="G19" s="1"/>
    </row>
    <row r="20" spans="1:7" ht="29.25" customHeight="1" x14ac:dyDescent="0.25">
      <c r="A20" s="1"/>
      <c r="B20" s="88" t="s">
        <v>276</v>
      </c>
      <c r="C20" s="89"/>
      <c r="D20" s="89"/>
      <c r="E20" s="89"/>
      <c r="F20" s="90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3" t="s">
        <v>213</v>
      </c>
      <c r="C22" s="54"/>
      <c r="D22" s="54"/>
      <c r="E22" s="54"/>
      <c r="F22" s="55"/>
      <c r="G22" s="1"/>
    </row>
    <row r="23" spans="1:7" x14ac:dyDescent="0.25">
      <c r="A23" s="1"/>
      <c r="B23" s="59" t="s">
        <v>214</v>
      </c>
      <c r="C23" s="60"/>
      <c r="D23" s="61"/>
      <c r="E23" s="9">
        <v>16914088.570106879</v>
      </c>
      <c r="F23" s="14" t="s">
        <v>3</v>
      </c>
      <c r="G23" s="1"/>
    </row>
    <row r="24" spans="1:7" x14ac:dyDescent="0.25">
      <c r="A24" s="1"/>
      <c r="B24" s="59" t="s">
        <v>215</v>
      </c>
      <c r="C24" s="60"/>
      <c r="D24" s="61"/>
      <c r="E24" s="9">
        <v>16758771</v>
      </c>
      <c r="F24" s="14" t="s">
        <v>3</v>
      </c>
      <c r="G24" s="1"/>
    </row>
    <row r="25" spans="1:7" x14ac:dyDescent="0.25">
      <c r="A25" s="1"/>
      <c r="B25" s="59" t="s">
        <v>36</v>
      </c>
      <c r="C25" s="60"/>
      <c r="D25" s="61"/>
      <c r="E25" s="9">
        <v>0</v>
      </c>
      <c r="F25" s="14" t="s">
        <v>3</v>
      </c>
      <c r="G25" s="1"/>
    </row>
    <row r="26" spans="1:7" x14ac:dyDescent="0.25">
      <c r="A26" s="1"/>
      <c r="B26" s="56" t="s">
        <v>277</v>
      </c>
      <c r="C26" s="57"/>
      <c r="D26" s="64"/>
      <c r="E26" s="48">
        <f>E23-(E24-E25)</f>
        <v>155317.57010687888</v>
      </c>
      <c r="F26" s="17" t="s">
        <v>3</v>
      </c>
      <c r="G26" s="1"/>
    </row>
    <row r="27" spans="1:7" x14ac:dyDescent="0.25">
      <c r="A27" s="1"/>
      <c r="B27" s="38"/>
      <c r="C27" s="32"/>
      <c r="D27" s="32"/>
      <c r="E27" s="32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98" t="s">
        <v>186</v>
      </c>
      <c r="C30" s="99"/>
      <c r="D30" s="99"/>
      <c r="E30" s="99"/>
      <c r="F30" s="100"/>
      <c r="G30" s="1"/>
    </row>
    <row r="31" spans="1:7" x14ac:dyDescent="0.25">
      <c r="A31" s="1"/>
      <c r="B31" s="115" t="s">
        <v>280</v>
      </c>
      <c r="C31" s="116"/>
      <c r="D31" s="117"/>
      <c r="E31" s="9">
        <v>0</v>
      </c>
      <c r="F31" s="14"/>
      <c r="G31" s="1"/>
    </row>
    <row r="32" spans="1:7" x14ac:dyDescent="0.25">
      <c r="A32" s="1"/>
      <c r="B32" s="115" t="s">
        <v>187</v>
      </c>
      <c r="C32" s="116"/>
      <c r="D32" s="117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0</v>
      </c>
      <c r="F32" s="14" t="s">
        <v>3</v>
      </c>
      <c r="G32" s="1"/>
    </row>
    <row r="33" spans="1:7" x14ac:dyDescent="0.25">
      <c r="A33" s="1"/>
      <c r="B33" s="115" t="s">
        <v>120</v>
      </c>
      <c r="C33" s="116"/>
      <c r="D33" s="117"/>
      <c r="E33" s="9">
        <v>2</v>
      </c>
      <c r="F33" s="14" t="s">
        <v>21</v>
      </c>
      <c r="G33" s="1"/>
    </row>
    <row r="34" spans="1:7" x14ac:dyDescent="0.25">
      <c r="A34" s="1"/>
      <c r="B34" s="118" t="s">
        <v>188</v>
      </c>
      <c r="C34" s="118"/>
      <c r="D34" s="118"/>
      <c r="E34" s="10">
        <f>E32/E33</f>
        <v>0</v>
      </c>
      <c r="F34" s="17" t="s">
        <v>3</v>
      </c>
      <c r="G34" s="1"/>
    </row>
    <row r="35" spans="1:7" x14ac:dyDescent="0.25">
      <c r="A35" s="1"/>
      <c r="B35" s="119"/>
      <c r="C35" s="120"/>
      <c r="D35" s="120"/>
      <c r="E35" s="120"/>
      <c r="F35" s="121"/>
      <c r="G35" s="1"/>
    </row>
    <row r="36" spans="1:7" ht="75" customHeight="1" x14ac:dyDescent="0.25">
      <c r="A36" s="1"/>
      <c r="B36" s="88" t="s">
        <v>279</v>
      </c>
      <c r="C36" s="89"/>
      <c r="D36" s="89"/>
      <c r="E36" s="89"/>
      <c r="F36" s="9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Dyl4FyOPFJiL3l+e7cwE9ytLlhbUJ78+9P2Yp+1Eh+eFFg8AJh+ZuDFo6U2q3bEKD2vpwgcnM82TYWHrGi4zwA==" saltValue="894fCyiwvL8kxQaBU2Xz6Q==" spinCount="100000" sheet="1" objects="1" scenarios="1"/>
  <mergeCells count="18">
    <mergeCell ref="B20:F20"/>
    <mergeCell ref="B30:F30"/>
    <mergeCell ref="B31:D31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  <mergeCell ref="B32:D32"/>
    <mergeCell ref="B33:D33"/>
    <mergeCell ref="B34:D34"/>
    <mergeCell ref="B35:F35"/>
    <mergeCell ref="B36:F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1" t="s">
        <v>216</v>
      </c>
      <c r="C3" s="91"/>
      <c r="D3" s="91"/>
      <c r="E3" s="91"/>
      <c r="F3" s="91"/>
      <c r="G3" s="1"/>
    </row>
    <row r="4" spans="1:7" ht="1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8" t="s">
        <v>217</v>
      </c>
      <c r="C9" s="99"/>
      <c r="D9" s="99"/>
      <c r="E9" s="99"/>
      <c r="F9" s="100"/>
      <c r="G9" s="1"/>
    </row>
    <row r="10" spans="1:7" x14ac:dyDescent="0.25">
      <c r="A10" s="1"/>
      <c r="B10" s="88" t="s">
        <v>118</v>
      </c>
      <c r="C10" s="89"/>
      <c r="D10" s="90"/>
      <c r="E10" s="7">
        <v>0</v>
      </c>
      <c r="F10" s="8" t="s">
        <v>3</v>
      </c>
      <c r="G10" s="1"/>
    </row>
    <row r="11" spans="1:7" x14ac:dyDescent="0.25">
      <c r="A11" s="1"/>
      <c r="B11" s="103" t="s">
        <v>218</v>
      </c>
      <c r="C11" s="104"/>
      <c r="D11" s="105"/>
      <c r="E11" s="7">
        <v>0</v>
      </c>
      <c r="F11" s="8" t="s">
        <v>3</v>
      </c>
      <c r="G11" s="1"/>
    </row>
    <row r="12" spans="1:7" x14ac:dyDescent="0.25">
      <c r="A12" s="1"/>
      <c r="B12" s="101" t="s">
        <v>119</v>
      </c>
      <c r="C12" s="102"/>
      <c r="D12" s="122"/>
      <c r="E12" s="10">
        <f>E11-E10</f>
        <v>0</v>
      </c>
      <c r="F12" s="11" t="s">
        <v>3</v>
      </c>
      <c r="G12" s="1"/>
    </row>
    <row r="13" spans="1:7" x14ac:dyDescent="0.25">
      <c r="A13" s="1"/>
      <c r="B13" s="98" t="s">
        <v>109</v>
      </c>
      <c r="C13" s="99"/>
      <c r="D13" s="99"/>
      <c r="E13" s="99"/>
      <c r="F13" s="100"/>
      <c r="G13" s="1"/>
    </row>
    <row r="14" spans="1:7" x14ac:dyDescent="0.25">
      <c r="A14" s="1"/>
      <c r="B14" s="103" t="s">
        <v>219</v>
      </c>
      <c r="C14" s="104"/>
      <c r="D14" s="105"/>
      <c r="E14" s="9">
        <v>0</v>
      </c>
      <c r="F14" s="8" t="s">
        <v>3</v>
      </c>
      <c r="G14" s="1"/>
    </row>
    <row r="15" spans="1:7" x14ac:dyDescent="0.25">
      <c r="A15" s="1"/>
      <c r="B15" s="88" t="s">
        <v>220</v>
      </c>
      <c r="C15" s="89"/>
      <c r="D15" s="90"/>
      <c r="E15" s="9">
        <v>0</v>
      </c>
      <c r="F15" s="8" t="s">
        <v>3</v>
      </c>
      <c r="G15" s="1"/>
    </row>
    <row r="16" spans="1:7" x14ac:dyDescent="0.25">
      <c r="A16" s="1"/>
      <c r="B16" s="101" t="s">
        <v>119</v>
      </c>
      <c r="C16" s="102"/>
      <c r="D16" s="122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221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p8H9/4AHJzQc5ncSF05HagtVu/VUHFTQjt7bzdv+v93dAGNmtL14KPuKIiXp3wPu6UtwtWJRzxYxH/ufdmE/Jw==" saltValue="pZ6Se9putSgbyURYMS5BK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177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178</v>
      </c>
      <c r="C8" s="99"/>
      <c r="D8" s="99"/>
      <c r="E8" s="99"/>
      <c r="F8" s="99"/>
      <c r="G8" s="99"/>
      <c r="H8" s="100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25">
      <c r="A10" s="1"/>
      <c r="B10" s="65" t="s">
        <v>282</v>
      </c>
      <c r="C10" s="66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98" t="s">
        <v>179</v>
      </c>
      <c r="C11" s="99"/>
      <c r="D11" s="100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fnx5RhnBxf+7OuzjWc2dTQOurm0hObiputVpqdCqNW51xhr2fSK1uSV64htoKDob1HSnv/c8b7QcrBo/YwD6GA==" saltValue="l1K1cBil1BAPbS5N6VL22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135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25">
      <c r="A9" s="1"/>
      <c r="B9" s="51" t="s">
        <v>18</v>
      </c>
      <c r="C9" s="51" t="s">
        <v>12</v>
      </c>
      <c r="D9" s="52"/>
      <c r="E9" s="51" t="s">
        <v>34</v>
      </c>
      <c r="F9" s="37"/>
      <c r="G9" s="1"/>
    </row>
    <row r="10" spans="1:7" x14ac:dyDescent="0.2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38" t="s">
        <v>163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222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UdEPchNq9xZRo9hSbQO1hDi0Q3QI1OJh5WbMwkX1qE4GVRHepjlgfQbkUK+kNCegpgQdorKjXZMsq+p1Kbr1QA==" saltValue="1pNvg7InwL16w2Yhn0j7H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134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112</v>
      </c>
      <c r="C8" s="99"/>
      <c r="D8" s="99"/>
      <c r="E8" s="99"/>
      <c r="F8" s="100"/>
      <c r="G8" s="1"/>
    </row>
    <row r="9" spans="1:7" x14ac:dyDescent="0.25">
      <c r="A9" s="1"/>
      <c r="B9" s="51" t="s">
        <v>18</v>
      </c>
      <c r="C9" s="51" t="s">
        <v>12</v>
      </c>
      <c r="D9" s="52"/>
      <c r="E9" s="51" t="s">
        <v>34</v>
      </c>
      <c r="F9" s="37"/>
      <c r="G9" s="1"/>
    </row>
    <row r="10" spans="1:7" x14ac:dyDescent="0.25">
      <c r="A10" s="1"/>
      <c r="B10" s="25" t="s">
        <v>281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2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2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8" t="s">
        <v>113</v>
      </c>
      <c r="C16" s="99"/>
      <c r="D16" s="99"/>
      <c r="E16" s="99"/>
      <c r="F16" s="100"/>
      <c r="G16" s="1"/>
    </row>
    <row r="17" spans="1:7" x14ac:dyDescent="0.25">
      <c r="A17" s="1"/>
      <c r="B17" s="51" t="s">
        <v>18</v>
      </c>
      <c r="C17" s="51" t="s">
        <v>12</v>
      </c>
      <c r="D17" s="52"/>
      <c r="E17" s="51" t="s">
        <v>34</v>
      </c>
      <c r="F17" s="37"/>
      <c r="G17" s="1"/>
    </row>
    <row r="18" spans="1:7" x14ac:dyDescent="0.25">
      <c r="A18" s="1"/>
      <c r="B18" s="25" t="s">
        <v>281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2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8" t="s">
        <v>166</v>
      </c>
      <c r="C24" s="99"/>
      <c r="D24" s="99"/>
      <c r="E24" s="99"/>
      <c r="F24" s="100"/>
      <c r="G24" s="1"/>
    </row>
    <row r="25" spans="1:7" x14ac:dyDescent="0.25">
      <c r="A25" s="1"/>
      <c r="B25" s="51" t="s">
        <v>18</v>
      </c>
      <c r="C25" s="51" t="s">
        <v>12</v>
      </c>
      <c r="D25" s="52"/>
      <c r="E25" s="51" t="s">
        <v>34</v>
      </c>
      <c r="F25" s="37"/>
      <c r="G25" s="1"/>
    </row>
    <row r="26" spans="1:7" x14ac:dyDescent="0.25">
      <c r="A26" s="1"/>
      <c r="B26" s="25" t="s">
        <v>281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2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8" t="s">
        <v>224</v>
      </c>
      <c r="C32" s="99"/>
      <c r="D32" s="99"/>
      <c r="E32" s="99"/>
      <c r="F32" s="100"/>
      <c r="G32" s="1"/>
    </row>
    <row r="33" spans="1:7" x14ac:dyDescent="0.25">
      <c r="A33" s="1"/>
      <c r="B33" s="51" t="s">
        <v>18</v>
      </c>
      <c r="C33" s="51" t="s">
        <v>12</v>
      </c>
      <c r="D33" s="52"/>
      <c r="E33" s="51" t="s">
        <v>34</v>
      </c>
      <c r="F33" s="37"/>
      <c r="G33" s="1"/>
    </row>
    <row r="34" spans="1:7" x14ac:dyDescent="0.25">
      <c r="A34" s="1"/>
      <c r="B34" s="25" t="s">
        <v>281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2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GzI+cZZcZAL4vC8BmuDTah9o04vlXzPRwclzUSfo27EYDwLcd/PJgfGATPIXLnboP7zDt1kba7+kA0u7Qmkf3g==" saltValue="hpzmlYJfKTgTrwqzgy341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136</v>
      </c>
      <c r="C3" s="91"/>
      <c r="D3" s="91"/>
      <c r="E3" s="91"/>
      <c r="F3" s="91"/>
      <c r="G3" s="1"/>
    </row>
    <row r="4" spans="1:7" ht="1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91"/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103</v>
      </c>
      <c r="C8" s="99"/>
      <c r="D8" s="99"/>
      <c r="E8" s="99"/>
      <c r="F8" s="100"/>
      <c r="G8" s="1"/>
    </row>
    <row r="9" spans="1:7" x14ac:dyDescent="0.25">
      <c r="A9" s="1"/>
      <c r="B9" s="123" t="s">
        <v>226</v>
      </c>
      <c r="C9" s="124"/>
      <c r="D9" s="125"/>
      <c r="E9" s="9">
        <v>0</v>
      </c>
      <c r="F9" s="14" t="s">
        <v>3</v>
      </c>
      <c r="G9" s="1"/>
    </row>
    <row r="10" spans="1:7" x14ac:dyDescent="0.25">
      <c r="A10" s="1"/>
      <c r="B10" s="92" t="s">
        <v>10</v>
      </c>
      <c r="C10" s="93"/>
      <c r="D10" s="94"/>
      <c r="E10" s="9">
        <f>-E9*'Fane 5. Individuelt eff. krav'!G12</f>
        <v>0</v>
      </c>
      <c r="F10" s="14" t="s">
        <v>3</v>
      </c>
      <c r="G10" s="1"/>
    </row>
    <row r="11" spans="1:7" x14ac:dyDescent="0.25">
      <c r="A11" s="1"/>
      <c r="B11" s="92" t="s">
        <v>26</v>
      </c>
      <c r="C11" s="93"/>
      <c r="D11" s="94"/>
      <c r="E11" s="9">
        <f>-E9*'Fane 14. Nøgletal'!C29</f>
        <v>0</v>
      </c>
      <c r="F11" s="14" t="s">
        <v>3</v>
      </c>
      <c r="G11" s="1"/>
    </row>
    <row r="12" spans="1:7" x14ac:dyDescent="0.25">
      <c r="A12" s="1"/>
      <c r="B12" s="98" t="s">
        <v>105</v>
      </c>
      <c r="C12" s="99"/>
      <c r="D12" s="100"/>
      <c r="E12" s="12">
        <f>SUM(E9:E11)*(1+'Fane 14. Nøgletal'!C14)^2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8" t="s">
        <v>104</v>
      </c>
      <c r="C14" s="99"/>
      <c r="D14" s="99"/>
      <c r="E14" s="99"/>
      <c r="F14" s="100"/>
      <c r="G14" s="1"/>
    </row>
    <row r="15" spans="1:7" ht="15" customHeight="1" x14ac:dyDescent="0.25">
      <c r="A15" s="1"/>
      <c r="B15" s="123" t="s">
        <v>226</v>
      </c>
      <c r="C15" s="124"/>
      <c r="D15" s="125"/>
      <c r="E15" s="9">
        <v>0</v>
      </c>
      <c r="F15" s="14" t="s">
        <v>3</v>
      </c>
      <c r="G15" s="1"/>
    </row>
    <row r="16" spans="1:7" x14ac:dyDescent="0.25">
      <c r="A16" s="1"/>
      <c r="B16" s="92" t="s">
        <v>10</v>
      </c>
      <c r="C16" s="93"/>
      <c r="D16" s="94"/>
      <c r="E16" s="9">
        <f>-E15*'Fane 5. Individuelt eff. krav'!G12</f>
        <v>0</v>
      </c>
      <c r="F16" s="14" t="s">
        <v>3</v>
      </c>
      <c r="G16" s="1"/>
    </row>
    <row r="17" spans="1:7" x14ac:dyDescent="0.25">
      <c r="A17" s="1"/>
      <c r="B17" s="92" t="s">
        <v>26</v>
      </c>
      <c r="C17" s="93"/>
      <c r="D17" s="94"/>
      <c r="E17" s="9">
        <f>-E15*'Fane 14. Nøgletal'!C29</f>
        <v>0</v>
      </c>
      <c r="F17" s="14" t="s">
        <v>3</v>
      </c>
      <c r="G17" s="1"/>
    </row>
    <row r="18" spans="1:7" x14ac:dyDescent="0.25">
      <c r="A18" s="1"/>
      <c r="B18" s="98" t="s">
        <v>106</v>
      </c>
      <c r="C18" s="99"/>
      <c r="D18" s="100"/>
      <c r="E18" s="12">
        <f>SUM(E15:E17)*(1+'Fane 14. Nøgletal'!C14)^3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8" t="s">
        <v>155</v>
      </c>
      <c r="C20" s="99"/>
      <c r="D20" s="99"/>
      <c r="E20" s="99"/>
      <c r="F20" s="100"/>
      <c r="G20" s="1"/>
    </row>
    <row r="21" spans="1:7" ht="15" customHeight="1" x14ac:dyDescent="0.25">
      <c r="A21" s="1"/>
      <c r="B21" s="123" t="s">
        <v>226</v>
      </c>
      <c r="C21" s="124"/>
      <c r="D21" s="125"/>
      <c r="E21" s="9">
        <v>0</v>
      </c>
      <c r="F21" s="14" t="s">
        <v>3</v>
      </c>
      <c r="G21" s="1"/>
    </row>
    <row r="22" spans="1:7" x14ac:dyDescent="0.25">
      <c r="A22" s="1"/>
      <c r="B22" s="92" t="s">
        <v>10</v>
      </c>
      <c r="C22" s="93"/>
      <c r="D22" s="94"/>
      <c r="E22" s="9">
        <f>-E21*'Fane 5. Individuelt eff. krav'!G12</f>
        <v>0</v>
      </c>
      <c r="F22" s="14" t="s">
        <v>3</v>
      </c>
      <c r="G22" s="1"/>
    </row>
    <row r="23" spans="1:7" x14ac:dyDescent="0.25">
      <c r="A23" s="1"/>
      <c r="B23" s="92" t="s">
        <v>26</v>
      </c>
      <c r="C23" s="93"/>
      <c r="D23" s="94"/>
      <c r="E23" s="9">
        <f>-E21*'Fane 14. Nøgletal'!C29</f>
        <v>0</v>
      </c>
      <c r="F23" s="14" t="s">
        <v>3</v>
      </c>
      <c r="G23" s="1"/>
    </row>
    <row r="24" spans="1:7" x14ac:dyDescent="0.25">
      <c r="A24" s="1"/>
      <c r="B24" s="98" t="s">
        <v>156</v>
      </c>
      <c r="C24" s="99"/>
      <c r="D24" s="100"/>
      <c r="E24" s="12">
        <f>SUM(E21:E23)*(1+'Fane 14. Nøgletal'!C14)^4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8" t="s">
        <v>227</v>
      </c>
      <c r="C26" s="99"/>
      <c r="D26" s="99"/>
      <c r="E26" s="99"/>
      <c r="F26" s="100"/>
      <c r="G26" s="1"/>
    </row>
    <row r="27" spans="1:7" ht="15" customHeight="1" x14ac:dyDescent="0.25">
      <c r="A27" s="1"/>
      <c r="B27" s="123" t="s">
        <v>226</v>
      </c>
      <c r="C27" s="124"/>
      <c r="D27" s="125"/>
      <c r="E27" s="9">
        <v>0</v>
      </c>
      <c r="F27" s="14" t="s">
        <v>3</v>
      </c>
      <c r="G27" s="1"/>
    </row>
    <row r="28" spans="1:7" x14ac:dyDescent="0.25">
      <c r="A28" s="1"/>
      <c r="B28" s="92" t="s">
        <v>10</v>
      </c>
      <c r="C28" s="93"/>
      <c r="D28" s="94"/>
      <c r="E28" s="9">
        <f>-E27*'Fane 5. Individuelt eff. krav'!G12</f>
        <v>0</v>
      </c>
      <c r="F28" s="14" t="s">
        <v>3</v>
      </c>
      <c r="G28" s="1"/>
    </row>
    <row r="29" spans="1:7" x14ac:dyDescent="0.25">
      <c r="A29" s="1"/>
      <c r="B29" s="92" t="s">
        <v>26</v>
      </c>
      <c r="C29" s="93"/>
      <c r="D29" s="94"/>
      <c r="E29" s="9">
        <f>-E27*'Fane 14. Nøgletal'!C29</f>
        <v>0</v>
      </c>
      <c r="F29" s="14" t="s">
        <v>3</v>
      </c>
      <c r="G29" s="1"/>
    </row>
    <row r="30" spans="1:7" x14ac:dyDescent="0.25">
      <c r="A30" s="1"/>
      <c r="B30" s="98" t="s">
        <v>228</v>
      </c>
      <c r="C30" s="99"/>
      <c r="D30" s="100"/>
      <c r="E30" s="12">
        <f>SUM(E27:E29)*(1+'Fane 14. Nøgletal'!C14)^5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JP1BQ6XcHg9H7S7PFYmPr505mj0acrVxm8fen7yLTZfCUch2uoa1d2111yZjq6B3esKdikIsPlocLOmu9PEm7A==" saltValue="g5cXCIyJEDqd6TBLIKifiw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157</v>
      </c>
      <c r="C3" s="91"/>
      <c r="D3" s="91"/>
      <c r="E3" s="91"/>
      <c r="F3" s="91"/>
      <c r="G3" s="1"/>
    </row>
    <row r="4" spans="1:7" ht="25.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158</v>
      </c>
      <c r="C8" s="99"/>
      <c r="D8" s="99"/>
      <c r="E8" s="99"/>
      <c r="F8" s="100"/>
      <c r="G8" s="1"/>
    </row>
    <row r="9" spans="1:7" ht="15" customHeight="1" x14ac:dyDescent="0.2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cKJW5hYqPITyqjwclI5eZieGRjda+1P4cJZAvFtqmOjkrgdwU+ERF/d29yYksviPAlXn4I8DGYd/ml/V3ZiB1Q==" saltValue="m2cUt/8DroS42NDHDUHiKA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133</v>
      </c>
      <c r="C3" s="91"/>
      <c r="D3" s="91"/>
      <c r="E3" s="91"/>
      <c r="F3" s="91"/>
      <c r="G3" s="1"/>
    </row>
    <row r="4" spans="1:7" ht="25.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107</v>
      </c>
      <c r="C8" s="99"/>
      <c r="D8" s="99"/>
      <c r="E8" s="99"/>
      <c r="F8" s="100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8" t="s">
        <v>108</v>
      </c>
      <c r="C14" s="99"/>
      <c r="D14" s="99"/>
      <c r="E14" s="99"/>
      <c r="F14" s="100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25">
      <c r="A16" s="1"/>
      <c r="B16" s="25" t="s">
        <v>266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8" t="s">
        <v>169</v>
      </c>
      <c r="C20" s="99"/>
      <c r="D20" s="99"/>
      <c r="E20" s="99"/>
      <c r="F20" s="100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25">
      <c r="A22" s="1"/>
      <c r="B22" s="25" t="s">
        <v>266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8" t="s">
        <v>231</v>
      </c>
      <c r="C26" s="99"/>
      <c r="D26" s="99"/>
      <c r="E26" s="99"/>
      <c r="F26" s="100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25">
      <c r="A28" s="1"/>
      <c r="B28" s="25" t="s">
        <v>266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kZ4GLcoInoEKTlWl+UZbuAfrXgO0csAavpMe1VxUTxQHCGlnSL0EH1hHWb7H+QrEZrsJaBkQ4kjDrWr8zB4cA==" saltValue="7Lr6D2RtJjYIzcc/tzH2U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1" t="s">
        <v>189</v>
      </c>
      <c r="C3" s="91"/>
      <c r="D3" s="1"/>
    </row>
    <row r="4" spans="1:4" ht="25.5" customHeight="1" x14ac:dyDescent="0.25">
      <c r="A4" s="1"/>
      <c r="B4" s="91"/>
      <c r="C4" s="9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62" t="s">
        <v>137</v>
      </c>
      <c r="C9" s="26">
        <v>1.2699999999999999E-2</v>
      </c>
      <c r="D9" s="1"/>
    </row>
    <row r="10" spans="1:4" x14ac:dyDescent="0.25">
      <c r="A10" s="1"/>
      <c r="B10" s="62" t="s">
        <v>138</v>
      </c>
      <c r="C10" s="26">
        <v>1.7500000000000002E-2</v>
      </c>
      <c r="D10" s="1"/>
    </row>
    <row r="11" spans="1:4" x14ac:dyDescent="0.25">
      <c r="A11" s="1"/>
      <c r="B11" s="62" t="s">
        <v>24</v>
      </c>
      <c r="C11" s="26">
        <v>1.6899999999999998E-2</v>
      </c>
      <c r="D11" s="1"/>
    </row>
    <row r="12" spans="1:4" x14ac:dyDescent="0.25">
      <c r="A12" s="1"/>
      <c r="B12" s="39" t="s">
        <v>254</v>
      </c>
      <c r="C12" s="40">
        <v>1.9699999999999999E-2</v>
      </c>
      <c r="D12" s="1"/>
    </row>
    <row r="13" spans="1:4" x14ac:dyDescent="0.25">
      <c r="A13" s="1"/>
      <c r="B13" s="39" t="s">
        <v>162</v>
      </c>
      <c r="C13" s="40">
        <v>1.2200000000000001E-2</v>
      </c>
      <c r="D13" s="1"/>
    </row>
    <row r="14" spans="1:4" x14ac:dyDescent="0.25">
      <c r="A14" s="1"/>
      <c r="B14" s="62" t="s">
        <v>253</v>
      </c>
      <c r="C14" s="67">
        <v>3.3E-3</v>
      </c>
      <c r="D14" s="1"/>
    </row>
    <row r="15" spans="1:4" x14ac:dyDescent="0.25">
      <c r="A15" s="1"/>
      <c r="B15" s="38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8" t="s">
        <v>121</v>
      </c>
      <c r="C18" s="20"/>
      <c r="D18" s="1"/>
    </row>
    <row r="19" spans="1:4" x14ac:dyDescent="0.25">
      <c r="A19" s="1"/>
      <c r="B19" s="62" t="s">
        <v>139</v>
      </c>
      <c r="C19" s="23">
        <v>9.1000000000000004E-3</v>
      </c>
      <c r="D19" s="1"/>
    </row>
    <row r="20" spans="1:4" x14ac:dyDescent="0.25">
      <c r="A20" s="1"/>
      <c r="B20" s="62" t="s">
        <v>190</v>
      </c>
      <c r="C20" s="23">
        <v>1.77E-2</v>
      </c>
      <c r="D20" s="1"/>
    </row>
    <row r="21" spans="1:4" x14ac:dyDescent="0.25">
      <c r="A21" s="1"/>
      <c r="B21" s="62" t="s">
        <v>191</v>
      </c>
      <c r="C21" s="23">
        <v>8.6999999999999994E-3</v>
      </c>
      <c r="D21" s="1"/>
    </row>
    <row r="22" spans="1:4" x14ac:dyDescent="0.25">
      <c r="A22" s="1"/>
      <c r="B22" s="62" t="s">
        <v>140</v>
      </c>
      <c r="C22" s="41">
        <v>2.8400000000000002E-2</v>
      </c>
      <c r="D22" s="1"/>
    </row>
    <row r="23" spans="1:4" x14ac:dyDescent="0.25">
      <c r="A23" s="1"/>
      <c r="B23" s="62" t="s">
        <v>192</v>
      </c>
      <c r="C23" s="41">
        <v>2.75E-2</v>
      </c>
      <c r="D23" s="1"/>
    </row>
    <row r="24" spans="1:4" x14ac:dyDescent="0.25">
      <c r="A24" s="1"/>
      <c r="B24" s="62" t="s">
        <v>193</v>
      </c>
      <c r="C24" s="41">
        <v>1.4800000000000001E-2</v>
      </c>
      <c r="D24" s="1"/>
    </row>
    <row r="25" spans="1:4" x14ac:dyDescent="0.25">
      <c r="A25" s="1"/>
      <c r="B25" s="38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8" t="s">
        <v>122</v>
      </c>
      <c r="C28" s="20"/>
      <c r="D28" s="1"/>
    </row>
    <row r="29" spans="1:4" x14ac:dyDescent="0.25">
      <c r="A29" s="1"/>
      <c r="B29" s="62" t="s">
        <v>141</v>
      </c>
      <c r="C29" s="26">
        <v>0.02</v>
      </c>
      <c r="D29" s="1"/>
    </row>
    <row r="30" spans="1:4" x14ac:dyDescent="0.25">
      <c r="A30" s="1"/>
      <c r="B30" s="38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wEizbRVqo0PIXd03+WtGRRraknJSjQjLHX0uwtil0jD4YWtGhTXi4o/mf+2XYo49tkme93NVrDhNWE7xhILgyA==" saltValue="g9fY9S/v4NA9MQlY4DysZ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showWhiteSpace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194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260</v>
      </c>
      <c r="C9" s="7">
        <f>'Fane 3. Omkostninger i ØR2021'!E20</f>
        <v>15930962.386695866</v>
      </c>
      <c r="D9" s="8" t="s">
        <v>3</v>
      </c>
      <c r="E9" s="1"/>
    </row>
    <row r="10" spans="1:5" ht="17.100000000000001" customHeight="1" x14ac:dyDescent="0.25">
      <c r="A10" s="1"/>
      <c r="B10" s="50" t="s">
        <v>43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50" t="s">
        <v>44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50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0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0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0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0" t="s">
        <v>20</v>
      </c>
      <c r="C16" s="9">
        <f>SUM(C9:C15)*'Fane 14. Nøgletal'!C14</f>
        <v>52572.175876096357</v>
      </c>
      <c r="D16" s="8" t="s">
        <v>3</v>
      </c>
      <c r="E16" s="1"/>
    </row>
    <row r="17" spans="1:5" ht="17.100000000000001" customHeight="1" x14ac:dyDescent="0.25">
      <c r="A17" s="1"/>
      <c r="B17" s="50" t="s">
        <v>10</v>
      </c>
      <c r="C17" s="9">
        <f>-SUM(C9:C16)*'Fane 5. Individuelt eff. krav'!G12</f>
        <v>0</v>
      </c>
      <c r="D17" s="8" t="s">
        <v>3</v>
      </c>
      <c r="E17" s="1"/>
    </row>
    <row r="18" spans="1:5" ht="17.100000000000001" customHeight="1" x14ac:dyDescent="0.25">
      <c r="A18" s="1"/>
      <c r="B18" s="50" t="s">
        <v>26</v>
      </c>
      <c r="C18" s="9">
        <f>-'Fane 4.1. Gen. krav - drift'!G40</f>
        <v>-216090.17290854288</v>
      </c>
      <c r="D18" s="8" t="s">
        <v>3</v>
      </c>
      <c r="E18" s="1"/>
    </row>
    <row r="19" spans="1:5" ht="17.100000000000001" customHeight="1" x14ac:dyDescent="0.25">
      <c r="A19" s="1"/>
      <c r="B19" s="50" t="s">
        <v>27</v>
      </c>
      <c r="C19" s="9">
        <f>-'Fane 4.2. Gen. krav - anlæg'!G37</f>
        <v>-79980.421595257314</v>
      </c>
      <c r="D19" s="8" t="s">
        <v>3</v>
      </c>
      <c r="E19" s="1"/>
    </row>
    <row r="20" spans="1:5" ht="17.100000000000001" customHeight="1" x14ac:dyDescent="0.25">
      <c r="A20" s="1"/>
      <c r="B20" s="56" t="s">
        <v>22</v>
      </c>
      <c r="C20" s="10">
        <f>SUM(C9:C19)</f>
        <v>15687463.968068162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omk.'!C15+'Fane 6. Ikke-påvirkelige omk.'!C19+'Fane 6. Ikke-påvirkelige omk.'!C27</f>
        <v>1036611.9209655601</v>
      </c>
      <c r="D22" s="11" t="s">
        <v>3</v>
      </c>
      <c r="E22" s="1"/>
    </row>
    <row r="23" spans="1:5" ht="15" customHeight="1" x14ac:dyDescent="0.25">
      <c r="A23" s="1"/>
      <c r="B23" s="38" t="s">
        <v>94</v>
      </c>
      <c r="C23" s="32"/>
      <c r="D23" s="20"/>
      <c r="E23" s="1"/>
    </row>
    <row r="24" spans="1:5" ht="15" customHeight="1" x14ac:dyDescent="0.25">
      <c r="A24" s="1"/>
      <c r="B24" s="56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93</v>
      </c>
      <c r="C25" s="32"/>
      <c r="D25" s="20"/>
      <c r="E25" s="1"/>
    </row>
    <row r="26" spans="1:5" ht="15" customHeight="1" x14ac:dyDescent="0.25">
      <c r="A26" s="1"/>
      <c r="B26" s="50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0" t="s">
        <v>90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6" t="s">
        <v>95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187</v>
      </c>
      <c r="C29" s="32"/>
      <c r="D29" s="20"/>
      <c r="E29" s="1"/>
    </row>
    <row r="30" spans="1:5" x14ac:dyDescent="0.25">
      <c r="A30" s="1"/>
      <c r="B30" s="36" t="s">
        <v>284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25">
      <c r="A31" s="1"/>
      <c r="B31" s="38" t="s">
        <v>195</v>
      </c>
      <c r="C31" s="32"/>
      <c r="D31" s="20"/>
      <c r="E31" s="1"/>
    </row>
    <row r="32" spans="1:5" x14ac:dyDescent="0.25">
      <c r="A32" s="1"/>
      <c r="B32" s="36" t="s">
        <v>195</v>
      </c>
      <c r="C32" s="10">
        <f>'Fane 8. Korrektion af ØR2020'!E17</f>
        <v>0</v>
      </c>
      <c r="D32" s="11" t="s">
        <v>3</v>
      </c>
      <c r="E32" s="1"/>
    </row>
    <row r="33" spans="1:5" x14ac:dyDescent="0.25">
      <c r="A33" s="1"/>
      <c r="B33" s="35" t="s">
        <v>258</v>
      </c>
      <c r="C33" s="32"/>
      <c r="D33" s="20"/>
      <c r="E33" s="1"/>
    </row>
    <row r="34" spans="1:5" x14ac:dyDescent="0.25">
      <c r="A34" s="1"/>
      <c r="B34" s="63" t="s">
        <v>259</v>
      </c>
      <c r="C34" s="10">
        <v>0</v>
      </c>
      <c r="D34" s="11" t="s">
        <v>3</v>
      </c>
      <c r="E34" s="1"/>
    </row>
    <row r="35" spans="1:5" x14ac:dyDescent="0.25">
      <c r="A35" s="1"/>
      <c r="B35" s="38" t="s">
        <v>32</v>
      </c>
      <c r="C35" s="34">
        <f>SUM(C32,C30,C28,C24,C22,C20)</f>
        <v>16724075.889033722</v>
      </c>
      <c r="D35" s="35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e2l0Ys5Bt3wpMxJGTpsAwvbjWde7v9BdUhL9BbRHaEz7e/hxKh5d/rU4k0TWNcpICcWgOX+u0vnlv24nTVX5zg==" saltValue="sZUNoSDjAweiyqbioZC+P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196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87" t="s">
        <v>23</v>
      </c>
      <c r="C5" s="87"/>
      <c r="D5" s="87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151</v>
      </c>
      <c r="C9" s="7">
        <f>'Fane 2.1. Økonomisk ramme 2022'!C20</f>
        <v>15687463.968068162</v>
      </c>
      <c r="D9" s="8" t="s">
        <v>3</v>
      </c>
      <c r="E9" s="1"/>
    </row>
    <row r="10" spans="1:5" ht="15" customHeight="1" x14ac:dyDescent="0.25">
      <c r="A10" s="1"/>
      <c r="B10" s="50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0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51768.631094624936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0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drift'!G47</f>
        <v>-212467.20506955826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anlæg'!G44</f>
        <v>-79056.740503121138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15447708.653590107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Nøgletal'!C14)+'Fane 6. Ikke-påvirkelige omk.'!C20+'Fane 6. Ikke-påvirkelige omk.'!C28</f>
        <v>1040032.7403047465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6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0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0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6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187</v>
      </c>
      <c r="C25" s="32"/>
      <c r="D25" s="20"/>
      <c r="E25" s="1"/>
    </row>
    <row r="26" spans="1:5" ht="15" customHeight="1" x14ac:dyDescent="0.25">
      <c r="A26" s="1"/>
      <c r="B26" s="36" t="s">
        <v>284</v>
      </c>
      <c r="C26" s="10">
        <f>'Fane 7. Kontrol af ØR2020'!E34</f>
        <v>0</v>
      </c>
      <c r="D26" s="11" t="s">
        <v>3</v>
      </c>
      <c r="E26" s="1"/>
    </row>
    <row r="27" spans="1:5" x14ac:dyDescent="0.25">
      <c r="A27" s="1"/>
      <c r="B27" s="35" t="s">
        <v>258</v>
      </c>
      <c r="C27" s="32"/>
      <c r="D27" s="20"/>
      <c r="E27" s="1"/>
    </row>
    <row r="28" spans="1:5" x14ac:dyDescent="0.25">
      <c r="A28" s="1"/>
      <c r="B28" s="63" t="s">
        <v>259</v>
      </c>
      <c r="C28" s="10">
        <v>0</v>
      </c>
      <c r="D28" s="11" t="s">
        <v>3</v>
      </c>
      <c r="E28" s="1"/>
    </row>
    <row r="29" spans="1:5" x14ac:dyDescent="0.25">
      <c r="A29" s="1"/>
      <c r="B29" s="38" t="s">
        <v>102</v>
      </c>
      <c r="C29" s="12">
        <f>SUM(C16,C18,C20,C24,C26,C28)</f>
        <v>16487741.393894853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fa1JyxqY1/MN9M6mI7Ea3Xnmsnv7B7SCa6CnsDkzHrn9GJLW12g28ts80cYe0ngZeWjOVqC9KzLMsoRuit+qvg==" saltValue="TR1W2axJceHOlb5M58tBN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197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87" t="s">
        <v>23</v>
      </c>
      <c r="C5" s="87"/>
      <c r="D5" s="87"/>
      <c r="E5" s="1"/>
    </row>
    <row r="6" spans="1:5" x14ac:dyDescent="0.25">
      <c r="A6" s="1"/>
      <c r="B6" s="49"/>
      <c r="C6" s="49"/>
      <c r="D6" s="49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152</v>
      </c>
      <c r="C9" s="7">
        <f>'Fane 2.2. Økonomisk ramme 2023'!C16</f>
        <v>15447708.653590107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50977.438556847352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0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drift'!G55</f>
        <v>-208904.97990936204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anlæg'!G55</f>
        <v>-78143.726856129069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15211637.385381464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Nøgletal'!C14)^2+'Fane 6. Ikke-påvirkelige omk.'!C21+'Fane 6. Ikke-påvirkelige omk.'!C29</f>
        <v>1043464.8483477522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6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0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0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6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3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153</v>
      </c>
      <c r="C27" s="12">
        <f>SUM(C16,C18,C20,C24,C26)</f>
        <v>16255102.233729215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euZsNfKiNMaERnH+w9NUwT6AFuEaKW7uFlW9GudXVtXfXdYbN71IIBn7p5cRrzFIe13HKGRFYbfzET30GYhWhg==" saltValue="dnCaA5KYErxEhprqIPNRi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198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87" t="s">
        <v>23</v>
      </c>
      <c r="C5" s="87"/>
      <c r="D5" s="87"/>
      <c r="E5" s="1"/>
    </row>
    <row r="6" spans="1:5" x14ac:dyDescent="0.25">
      <c r="A6" s="1"/>
      <c r="B6" s="49"/>
      <c r="C6" s="49"/>
      <c r="D6" s="49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199</v>
      </c>
      <c r="C9" s="7">
        <f>'Fane 2.3. Økonomisk ramme 2024'!C16</f>
        <v>15211637.385381464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50198.403371758832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0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drift'!G61</f>
        <v>-205402.47901620169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anlæg'!G61</f>
        <v>-77241.257457663945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14979192.052279357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Nøgletal'!C14)^3+'Fane 6. Ikke-påvirkelige omk.'!C22+'Fane 6. Ikke-påvirkelige omk.'!C30</f>
        <v>1046908.2823473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6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0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0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6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3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200</v>
      </c>
      <c r="C27" s="12">
        <f>SUM(C16,C18,C20,C24,C26)</f>
        <v>16026100.334626656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oFYk4dA+sIBd1m8eYAeoWHXjX65G84sz/O6PkGgIqo4NixRTFuEyZ2dAmLfTre2rk9YFrPNlwdELKKkr8HwVLw==" saltValue="8dRZfhywDH9z3LsJhpGO2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250</v>
      </c>
      <c r="C3" s="91"/>
      <c r="D3" s="91"/>
      <c r="E3" s="91"/>
      <c r="F3" s="91"/>
      <c r="G3" s="1"/>
    </row>
    <row r="4" spans="1:7" ht="29.2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278</v>
      </c>
      <c r="C8" s="32"/>
      <c r="D8" s="32"/>
      <c r="E8" s="32"/>
      <c r="F8" s="20"/>
      <c r="G8" s="1"/>
    </row>
    <row r="9" spans="1:7" ht="15" customHeight="1" x14ac:dyDescent="0.25">
      <c r="A9" s="1"/>
      <c r="B9" s="88" t="s">
        <v>25</v>
      </c>
      <c r="C9" s="89"/>
      <c r="D9" s="90"/>
      <c r="E9" s="7">
        <v>16006841.228151089</v>
      </c>
      <c r="F9" s="8" t="s">
        <v>3</v>
      </c>
      <c r="G9" s="1"/>
    </row>
    <row r="10" spans="1:7" ht="15" customHeight="1" x14ac:dyDescent="0.25">
      <c r="A10" s="1"/>
      <c r="B10" s="92" t="s">
        <v>43</v>
      </c>
      <c r="C10" s="93"/>
      <c r="D10" s="94"/>
      <c r="E10" s="7">
        <v>0</v>
      </c>
      <c r="F10" s="8" t="s">
        <v>3</v>
      </c>
      <c r="G10" s="1"/>
    </row>
    <row r="11" spans="1:7" ht="15" customHeight="1" x14ac:dyDescent="0.25">
      <c r="A11" s="1"/>
      <c r="B11" s="92" t="s">
        <v>44</v>
      </c>
      <c r="C11" s="93"/>
      <c r="D11" s="94"/>
      <c r="E11" s="9">
        <v>0</v>
      </c>
      <c r="F11" s="8" t="s">
        <v>3</v>
      </c>
      <c r="G11" s="1"/>
    </row>
    <row r="12" spans="1:7" ht="15" customHeight="1" x14ac:dyDescent="0.25">
      <c r="A12" s="1"/>
      <c r="B12" s="92" t="s">
        <v>29</v>
      </c>
      <c r="C12" s="93"/>
      <c r="D12" s="94"/>
      <c r="E12" s="9">
        <v>0</v>
      </c>
      <c r="F12" s="8" t="s">
        <v>3</v>
      </c>
      <c r="G12" s="1"/>
    </row>
    <row r="13" spans="1:7" ht="15" customHeight="1" x14ac:dyDescent="0.25">
      <c r="A13" s="1"/>
      <c r="B13" s="88" t="s">
        <v>28</v>
      </c>
      <c r="C13" s="89"/>
      <c r="D13" s="90"/>
      <c r="E13" s="9">
        <v>0</v>
      </c>
      <c r="F13" s="8" t="s">
        <v>3</v>
      </c>
      <c r="G13" s="1"/>
    </row>
    <row r="14" spans="1:7" ht="15" customHeight="1" x14ac:dyDescent="0.25">
      <c r="A14" s="1"/>
      <c r="B14" s="88" t="s">
        <v>31</v>
      </c>
      <c r="C14" s="89"/>
      <c r="D14" s="90"/>
      <c r="E14" s="9">
        <v>0</v>
      </c>
      <c r="F14" s="8" t="s">
        <v>3</v>
      </c>
      <c r="G14" s="1"/>
    </row>
    <row r="15" spans="1:7" ht="15" customHeight="1" x14ac:dyDescent="0.25">
      <c r="A15" s="1"/>
      <c r="B15" s="88" t="s">
        <v>30</v>
      </c>
      <c r="C15" s="89"/>
      <c r="D15" s="90"/>
      <c r="E15" s="9">
        <v>0</v>
      </c>
      <c r="F15" s="8" t="s">
        <v>3</v>
      </c>
      <c r="G15" s="1"/>
    </row>
    <row r="16" spans="1:7" ht="15" customHeight="1" x14ac:dyDescent="0.25">
      <c r="A16" s="1"/>
      <c r="B16" s="88" t="s">
        <v>20</v>
      </c>
      <c r="C16" s="89"/>
      <c r="D16" s="90"/>
      <c r="E16" s="9">
        <v>315334.77219457645</v>
      </c>
      <c r="F16" s="8" t="s">
        <v>3</v>
      </c>
      <c r="G16" s="1"/>
    </row>
    <row r="17" spans="1:7" ht="15" customHeight="1" x14ac:dyDescent="0.25">
      <c r="A17" s="1"/>
      <c r="B17" s="88" t="s">
        <v>10</v>
      </c>
      <c r="C17" s="89"/>
      <c r="D17" s="90"/>
      <c r="E17" s="9">
        <v>-13996.187877041239</v>
      </c>
      <c r="F17" s="8" t="s">
        <v>3</v>
      </c>
      <c r="G17" s="1"/>
    </row>
    <row r="18" spans="1:7" ht="15" customHeight="1" x14ac:dyDescent="0.25">
      <c r="A18" s="1"/>
      <c r="B18" s="88" t="s">
        <v>26</v>
      </c>
      <c r="C18" s="89"/>
      <c r="D18" s="90"/>
      <c r="E18" s="9">
        <f>-'Fane 4.1. Gen. krav - drift'!G34</f>
        <v>-219774.91920391572</v>
      </c>
      <c r="F18" s="8" t="s">
        <v>3</v>
      </c>
      <c r="G18" s="1"/>
    </row>
    <row r="19" spans="1:7" ht="15" customHeight="1" x14ac:dyDescent="0.25">
      <c r="A19" s="1"/>
      <c r="B19" s="88" t="s">
        <v>27</v>
      </c>
      <c r="C19" s="89"/>
      <c r="D19" s="90"/>
      <c r="E19" s="9">
        <f>-'Fane 4.2. Gen. krav - anlæg'!G31</f>
        <v>-157442.50656884414</v>
      </c>
      <c r="F19" s="8" t="s">
        <v>3</v>
      </c>
      <c r="G19" s="1"/>
    </row>
    <row r="20" spans="1:7" ht="15" customHeight="1" x14ac:dyDescent="0.25">
      <c r="A20" s="1"/>
      <c r="B20" s="56" t="s">
        <v>22</v>
      </c>
      <c r="C20" s="57"/>
      <c r="D20" s="64"/>
      <c r="E20" s="10">
        <f>SUM(E9:E19)</f>
        <v>15930962.386695866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95" t="s">
        <v>13</v>
      </c>
      <c r="C22" s="96"/>
      <c r="D22" s="97"/>
      <c r="E22" s="10">
        <v>1009418.30273088</v>
      </c>
      <c r="F22" s="11" t="s">
        <v>3</v>
      </c>
      <c r="G22" s="1"/>
    </row>
    <row r="23" spans="1:7" ht="15" customHeight="1" x14ac:dyDescent="0.25">
      <c r="A23" s="1"/>
      <c r="B23" s="98" t="s">
        <v>94</v>
      </c>
      <c r="C23" s="99"/>
      <c r="D23" s="100"/>
      <c r="E23" s="32"/>
      <c r="F23" s="32"/>
      <c r="G23" s="1"/>
    </row>
    <row r="24" spans="1:7" ht="15" customHeight="1" x14ac:dyDescent="0.25">
      <c r="A24" s="1"/>
      <c r="B24" s="56" t="s">
        <v>94</v>
      </c>
      <c r="C24" s="43"/>
      <c r="D24" s="44"/>
      <c r="E24" s="10">
        <v>0</v>
      </c>
      <c r="F24" s="11" t="s">
        <v>3</v>
      </c>
      <c r="G24" s="1"/>
    </row>
    <row r="25" spans="1:7" x14ac:dyDescent="0.2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25">
      <c r="A26" s="1"/>
      <c r="B26" s="92" t="s">
        <v>89</v>
      </c>
      <c r="C26" s="93"/>
      <c r="D26" s="94"/>
      <c r="E26" s="9">
        <v>0</v>
      </c>
      <c r="F26" s="8" t="s">
        <v>3</v>
      </c>
      <c r="G26" s="1"/>
    </row>
    <row r="27" spans="1:7" ht="15" customHeight="1" x14ac:dyDescent="0.25">
      <c r="A27" s="1"/>
      <c r="B27" s="92" t="s">
        <v>90</v>
      </c>
      <c r="C27" s="93"/>
      <c r="D27" s="93"/>
      <c r="E27" s="9">
        <v>0</v>
      </c>
      <c r="F27" s="8" t="s">
        <v>3</v>
      </c>
      <c r="G27" s="1"/>
    </row>
    <row r="28" spans="1:7" ht="15" customHeight="1" x14ac:dyDescent="0.25">
      <c r="A28" s="1"/>
      <c r="B28" s="101" t="s">
        <v>95</v>
      </c>
      <c r="C28" s="102"/>
      <c r="D28" s="102"/>
      <c r="E28" s="45">
        <v>0</v>
      </c>
      <c r="F28" s="11" t="s">
        <v>3</v>
      </c>
      <c r="G28" s="1"/>
    </row>
    <row r="29" spans="1:7" ht="15" customHeight="1" x14ac:dyDescent="0.2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25">
      <c r="A30" s="1"/>
      <c r="B30" s="95" t="s">
        <v>185</v>
      </c>
      <c r="C30" s="96"/>
      <c r="D30" s="96"/>
      <c r="E30" s="45">
        <v>0</v>
      </c>
      <c r="F30" s="11" t="s">
        <v>3</v>
      </c>
      <c r="G30" s="1"/>
    </row>
    <row r="31" spans="1:7" x14ac:dyDescent="0.2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25">
      <c r="A32" s="1"/>
      <c r="B32" s="95" t="s">
        <v>148</v>
      </c>
      <c r="C32" s="96"/>
      <c r="D32" s="97"/>
      <c r="E32" s="10">
        <v>0</v>
      </c>
      <c r="F32" s="11" t="s">
        <v>3</v>
      </c>
      <c r="G32" s="1"/>
    </row>
    <row r="33" spans="1:7" x14ac:dyDescent="0.25">
      <c r="A33" s="1"/>
      <c r="B33" s="38" t="s">
        <v>251</v>
      </c>
      <c r="C33" s="32"/>
      <c r="D33" s="20"/>
      <c r="E33" s="12">
        <f>SUM(E32,E30,E28,E24,E22,E20)</f>
        <v>16940380.689426746</v>
      </c>
      <c r="F33" s="13" t="s">
        <v>3</v>
      </c>
      <c r="G33" s="1"/>
    </row>
    <row r="34" spans="1:7" ht="27" customHeight="1" x14ac:dyDescent="0.25">
      <c r="A34" s="1"/>
      <c r="B34" s="88" t="s">
        <v>252</v>
      </c>
      <c r="C34" s="89"/>
      <c r="D34" s="89"/>
      <c r="E34" s="89"/>
      <c r="F34" s="90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h8t+b4tiYDThR623YuxyJembhtCd2UJ61uUNlDSRia4Wt0IIXZkiQRAJE701/B/NVG30AVFLuf40U3L+mQhRcA==" saltValue="U/aDBsoBmcNp2qEPt5rhNQ==" spinCount="100000" sheet="1" objects="1" scenarios="1"/>
  <mergeCells count="20">
    <mergeCell ref="B26:D26"/>
    <mergeCell ref="B32:D32"/>
    <mergeCell ref="B22:D22"/>
    <mergeCell ref="B23:D23"/>
    <mergeCell ref="B34:F34"/>
    <mergeCell ref="B27:D27"/>
    <mergeCell ref="B28:D28"/>
    <mergeCell ref="B30:D30"/>
    <mergeCell ref="B3:F4"/>
    <mergeCell ref="B9:D9"/>
    <mergeCell ref="B10:D10"/>
    <mergeCell ref="B11:D11"/>
    <mergeCell ref="B12:D12"/>
    <mergeCell ref="B18:D18"/>
    <mergeCell ref="B19:D19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25">
      <c r="A2" s="1"/>
      <c r="B2" s="91" t="s">
        <v>130</v>
      </c>
      <c r="C2" s="91"/>
      <c r="D2" s="91"/>
      <c r="E2" s="91"/>
      <c r="F2" s="91"/>
      <c r="G2" s="91"/>
      <c r="H2" s="91"/>
      <c r="I2" s="1"/>
    </row>
    <row r="3" spans="1:9" ht="28.5" customHeight="1" x14ac:dyDescent="0.25">
      <c r="A3" s="1"/>
      <c r="B3" s="91"/>
      <c r="C3" s="91"/>
      <c r="D3" s="91"/>
      <c r="E3" s="91"/>
      <c r="F3" s="91"/>
      <c r="G3" s="91"/>
      <c r="H3" s="91"/>
      <c r="I3" s="1"/>
    </row>
    <row r="4" spans="1:9" ht="14.25" customHeight="1" x14ac:dyDescent="0.25">
      <c r="A4" s="1"/>
      <c r="B4" s="42"/>
      <c r="C4" s="42"/>
      <c r="D4" s="42"/>
      <c r="E4" s="42"/>
      <c r="F4" s="42"/>
      <c r="G4" s="42"/>
      <c r="H4" s="42"/>
      <c r="I4" s="1"/>
    </row>
    <row r="5" spans="1:9" x14ac:dyDescent="0.25">
      <c r="A5" s="1"/>
      <c r="B5" s="98" t="s">
        <v>56</v>
      </c>
      <c r="C5" s="99"/>
      <c r="D5" s="99"/>
      <c r="E5" s="99"/>
      <c r="F5" s="99"/>
      <c r="G5" s="99"/>
      <c r="H5" s="100"/>
      <c r="I5" s="1"/>
    </row>
    <row r="6" spans="1:9" x14ac:dyDescent="0.25">
      <c r="A6" s="1"/>
      <c r="B6" s="103" t="s">
        <v>45</v>
      </c>
      <c r="C6" s="104"/>
      <c r="D6" s="104"/>
      <c r="E6" s="104"/>
      <c r="F6" s="105"/>
      <c r="G6" s="24">
        <v>11067006.276035357</v>
      </c>
      <c r="H6" s="14" t="s">
        <v>3</v>
      </c>
      <c r="I6" s="1"/>
    </row>
    <row r="7" spans="1:9" x14ac:dyDescent="0.25">
      <c r="A7" s="1"/>
      <c r="B7" s="88" t="s">
        <v>145</v>
      </c>
      <c r="C7" s="89"/>
      <c r="D7" s="89"/>
      <c r="E7" s="89"/>
      <c r="F7" s="90"/>
      <c r="G7" s="9">
        <v>0</v>
      </c>
      <c r="H7" s="14" t="s">
        <v>3</v>
      </c>
      <c r="I7" s="1"/>
    </row>
    <row r="8" spans="1:9" x14ac:dyDescent="0.25">
      <c r="A8" s="1"/>
      <c r="B8" s="103" t="s">
        <v>46</v>
      </c>
      <c r="C8" s="104"/>
      <c r="D8" s="104"/>
      <c r="E8" s="104"/>
      <c r="F8" s="105"/>
      <c r="G8" s="24">
        <f>SUM(G6:G7)*'Fane 14. Nøgletal'!C29</f>
        <v>221340.12552070714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8" t="s">
        <v>57</v>
      </c>
      <c r="C11" s="99"/>
      <c r="D11" s="99"/>
      <c r="E11" s="99"/>
      <c r="F11" s="99"/>
      <c r="G11" s="99"/>
      <c r="H11" s="100"/>
      <c r="I11" s="1"/>
    </row>
    <row r="12" spans="1:9" x14ac:dyDescent="0.25">
      <c r="A12" s="1"/>
      <c r="B12" s="103" t="s">
        <v>47</v>
      </c>
      <c r="C12" s="104"/>
      <c r="D12" s="104"/>
      <c r="E12" s="104"/>
      <c r="F12" s="105"/>
      <c r="G12" s="24">
        <f>(G6-G8)*(1+'Fane 14. Nøgletal'!C10)</f>
        <v>11035465.308148656</v>
      </c>
      <c r="H12" s="14" t="s">
        <v>3</v>
      </c>
      <c r="I12" s="1"/>
    </row>
    <row r="13" spans="1:9" ht="15" customHeight="1" x14ac:dyDescent="0.25">
      <c r="A13" s="1"/>
      <c r="B13" s="103" t="s">
        <v>146</v>
      </c>
      <c r="C13" s="104"/>
      <c r="D13" s="104"/>
      <c r="E13" s="104"/>
      <c r="F13" s="105"/>
      <c r="G13" s="9">
        <v>0</v>
      </c>
      <c r="H13" s="14" t="s">
        <v>3</v>
      </c>
      <c r="I13" s="1"/>
    </row>
    <row r="14" spans="1:9" x14ac:dyDescent="0.25">
      <c r="A14" s="1"/>
      <c r="B14" s="88" t="s">
        <v>143</v>
      </c>
      <c r="C14" s="89"/>
      <c r="D14" s="89"/>
      <c r="E14" s="89"/>
      <c r="F14" s="90"/>
      <c r="G14" s="9">
        <v>0</v>
      </c>
      <c r="H14" s="14" t="s">
        <v>3</v>
      </c>
      <c r="I14" s="1"/>
    </row>
    <row r="15" spans="1:9" x14ac:dyDescent="0.25">
      <c r="A15" s="1"/>
      <c r="B15" s="109" t="s">
        <v>48</v>
      </c>
      <c r="C15" s="110"/>
      <c r="D15" s="110"/>
      <c r="E15" s="110"/>
      <c r="F15" s="111"/>
      <c r="G15" s="9">
        <v>0</v>
      </c>
      <c r="H15" s="14" t="s">
        <v>3</v>
      </c>
      <c r="I15" s="1"/>
    </row>
    <row r="16" spans="1:9" x14ac:dyDescent="0.25">
      <c r="A16" s="1"/>
      <c r="B16" s="103" t="s">
        <v>49</v>
      </c>
      <c r="C16" s="104"/>
      <c r="D16" s="104"/>
      <c r="E16" s="104"/>
      <c r="F16" s="105"/>
      <c r="G16" s="24">
        <f>SUM(G12:G15)*'Fane 14. Nøgletal'!C29</f>
        <v>220709.30616297314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8" t="s">
        <v>58</v>
      </c>
      <c r="C19" s="99"/>
      <c r="D19" s="99"/>
      <c r="E19" s="99"/>
      <c r="F19" s="99"/>
      <c r="G19" s="99"/>
      <c r="H19" s="100"/>
      <c r="I19" s="1"/>
    </row>
    <row r="20" spans="1:9" x14ac:dyDescent="0.25">
      <c r="A20" s="1"/>
      <c r="B20" s="103" t="s">
        <v>50</v>
      </c>
      <c r="C20" s="104"/>
      <c r="D20" s="104"/>
      <c r="E20" s="104"/>
      <c r="F20" s="105"/>
      <c r="G20" s="24">
        <f>(SUM(G12:G13,G15)-(G16))*(1+'Fane 14. Nøgletal'!C10)</f>
        <v>11004014.232020432</v>
      </c>
      <c r="H20" s="14" t="s">
        <v>3</v>
      </c>
      <c r="I20" s="1"/>
    </row>
    <row r="21" spans="1:9" x14ac:dyDescent="0.25">
      <c r="A21" s="1"/>
      <c r="B21" s="109" t="s">
        <v>51</v>
      </c>
      <c r="C21" s="110"/>
      <c r="D21" s="110"/>
      <c r="E21" s="110"/>
      <c r="F21" s="111"/>
      <c r="G21" s="9">
        <v>0</v>
      </c>
      <c r="H21" s="14" t="s">
        <v>3</v>
      </c>
      <c r="I21" s="1"/>
    </row>
    <row r="22" spans="1:9" x14ac:dyDescent="0.25">
      <c r="A22" s="1"/>
      <c r="B22" s="103" t="s">
        <v>52</v>
      </c>
      <c r="C22" s="104"/>
      <c r="D22" s="104"/>
      <c r="E22" s="104"/>
      <c r="F22" s="105"/>
      <c r="G22" s="24">
        <f>SUM(G20:G21)*'Fane 14. Nøgletal'!C29</f>
        <v>220080.28464040864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8" t="s">
        <v>59</v>
      </c>
      <c r="C25" s="99"/>
      <c r="D25" s="99"/>
      <c r="E25" s="99"/>
      <c r="F25" s="99"/>
      <c r="G25" s="99"/>
      <c r="H25" s="100"/>
      <c r="I25" s="1"/>
    </row>
    <row r="26" spans="1:9" x14ac:dyDescent="0.25">
      <c r="A26" s="1"/>
      <c r="B26" s="103" t="s">
        <v>53</v>
      </c>
      <c r="C26" s="104"/>
      <c r="D26" s="104"/>
      <c r="E26" s="104"/>
      <c r="F26" s="105"/>
      <c r="G26" s="24">
        <f>(G20+G21-G22)*(1+'Fane 14. Nøgletal'!C12)</f>
        <v>10996377.446143409</v>
      </c>
      <c r="H26" s="14" t="s">
        <v>3</v>
      </c>
      <c r="I26" s="1"/>
    </row>
    <row r="27" spans="1:9" x14ac:dyDescent="0.25">
      <c r="A27" s="1"/>
      <c r="B27" s="109" t="s">
        <v>54</v>
      </c>
      <c r="C27" s="110"/>
      <c r="D27" s="110"/>
      <c r="E27" s="110"/>
      <c r="F27" s="111"/>
      <c r="G27" s="9">
        <v>0</v>
      </c>
      <c r="H27" s="14" t="s">
        <v>3</v>
      </c>
      <c r="I27" s="1"/>
    </row>
    <row r="28" spans="1:9" x14ac:dyDescent="0.25">
      <c r="A28" s="1"/>
      <c r="B28" s="103" t="s">
        <v>55</v>
      </c>
      <c r="C28" s="104"/>
      <c r="D28" s="104"/>
      <c r="E28" s="104"/>
      <c r="F28" s="105"/>
      <c r="G28" s="24">
        <f>(G26+G27)*'Fane 14. Nøgletal'!C29</f>
        <v>219927.54892286818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8" t="s">
        <v>62</v>
      </c>
      <c r="C31" s="99"/>
      <c r="D31" s="99"/>
      <c r="E31" s="99"/>
      <c r="F31" s="99"/>
      <c r="G31" s="99"/>
      <c r="H31" s="100"/>
      <c r="I31" s="1"/>
    </row>
    <row r="32" spans="1:9" x14ac:dyDescent="0.25">
      <c r="A32" s="1"/>
      <c r="B32" s="103" t="s">
        <v>63</v>
      </c>
      <c r="C32" s="104"/>
      <c r="D32" s="104"/>
      <c r="E32" s="104"/>
      <c r="F32" s="105"/>
      <c r="G32" s="24">
        <f>(G26+G27-G28)*(1+'Fane 14. Nøgletal'!C12)</f>
        <v>10988745.960195785</v>
      </c>
      <c r="H32" s="14" t="s">
        <v>3</v>
      </c>
      <c r="I32" s="1"/>
    </row>
    <row r="33" spans="1:9" x14ac:dyDescent="0.25">
      <c r="A33" s="1"/>
      <c r="B33" s="103" t="s">
        <v>171</v>
      </c>
      <c r="C33" s="104"/>
      <c r="D33" s="104"/>
      <c r="E33" s="104"/>
      <c r="F33" s="105"/>
      <c r="G33" s="9">
        <v>0</v>
      </c>
      <c r="H33" s="14" t="s">
        <v>3</v>
      </c>
      <c r="I33" s="1"/>
    </row>
    <row r="34" spans="1:9" x14ac:dyDescent="0.25">
      <c r="A34" s="1"/>
      <c r="B34" s="103" t="s">
        <v>64</v>
      </c>
      <c r="C34" s="104"/>
      <c r="D34" s="104"/>
      <c r="E34" s="104"/>
      <c r="F34" s="105"/>
      <c r="G34" s="24">
        <f>(G32+G33)*'Fane 14. Nøgletal'!C29</f>
        <v>219774.91920391572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8" t="s">
        <v>232</v>
      </c>
      <c r="C37" s="99"/>
      <c r="D37" s="99"/>
      <c r="E37" s="99"/>
      <c r="F37" s="99"/>
      <c r="G37" s="99"/>
      <c r="H37" s="100"/>
      <c r="I37" s="1"/>
    </row>
    <row r="38" spans="1:9" x14ac:dyDescent="0.25">
      <c r="A38" s="1"/>
      <c r="B38" s="103" t="s">
        <v>84</v>
      </c>
      <c r="C38" s="104"/>
      <c r="D38" s="104"/>
      <c r="E38" s="104"/>
      <c r="F38" s="105"/>
      <c r="G38" s="24">
        <f>(G32+G33-G34)*(1+'Fane 14. Nøgletal'!C14)</f>
        <v>10804508.645427143</v>
      </c>
      <c r="H38" s="14" t="s">
        <v>3</v>
      </c>
      <c r="I38" s="1"/>
    </row>
    <row r="39" spans="1:9" x14ac:dyDescent="0.25">
      <c r="A39" s="1"/>
      <c r="B39" s="103" t="s">
        <v>236</v>
      </c>
      <c r="C39" s="104"/>
      <c r="D39" s="104"/>
      <c r="E39" s="104"/>
      <c r="F39" s="105"/>
      <c r="G39" s="9">
        <f>SUM('Fane 2.1. Økonomisk ramme 2022'!C10,'Fane 2.1. Økonomisk ramme 2022'!C12,'Fane 2.1. Økonomisk ramme 2022'!C14)*(1+'Fane 14. Nøgletal'!C14)</f>
        <v>0</v>
      </c>
      <c r="H39" s="14" t="s">
        <v>3</v>
      </c>
      <c r="I39" s="1"/>
    </row>
    <row r="40" spans="1:9" x14ac:dyDescent="0.25">
      <c r="A40" s="1"/>
      <c r="B40" s="103" t="s">
        <v>234</v>
      </c>
      <c r="C40" s="104"/>
      <c r="D40" s="104"/>
      <c r="E40" s="104"/>
      <c r="F40" s="105"/>
      <c r="G40" s="24">
        <f>(G38+G39)*'Fane 14. Nøgletal'!C29</f>
        <v>216090.17290854288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8" t="s">
        <v>233</v>
      </c>
      <c r="C43" s="99"/>
      <c r="D43" s="99"/>
      <c r="E43" s="99"/>
      <c r="F43" s="99"/>
      <c r="G43" s="99"/>
      <c r="H43" s="100"/>
      <c r="I43" s="1"/>
    </row>
    <row r="44" spans="1:9" x14ac:dyDescent="0.25">
      <c r="A44" s="1"/>
      <c r="B44" s="103" t="s">
        <v>83</v>
      </c>
      <c r="C44" s="104"/>
      <c r="D44" s="104"/>
      <c r="E44" s="104"/>
      <c r="F44" s="105"/>
      <c r="G44" s="24">
        <f>(G38+G39-G40)*(1+'Fane 14. Nøgletal'!C14)</f>
        <v>10623360.253477912</v>
      </c>
      <c r="H44" s="14" t="s">
        <v>3</v>
      </c>
      <c r="I44" s="1"/>
    </row>
    <row r="45" spans="1:9" x14ac:dyDescent="0.25">
      <c r="A45" s="1"/>
      <c r="B45" s="106" t="s">
        <v>237</v>
      </c>
      <c r="C45" s="107"/>
      <c r="D45" s="107"/>
      <c r="E45" s="107"/>
      <c r="F45" s="108"/>
      <c r="G45" s="9">
        <f>G39*(1+'Fane 14. Nøgletal'!C14)</f>
        <v>0</v>
      </c>
      <c r="H45" s="14" t="s">
        <v>3</v>
      </c>
      <c r="I45" s="1"/>
    </row>
    <row r="46" spans="1:9" x14ac:dyDescent="0.25">
      <c r="A46" s="1"/>
      <c r="B46" s="103" t="s">
        <v>97</v>
      </c>
      <c r="C46" s="104"/>
      <c r="D46" s="104"/>
      <c r="E46" s="104"/>
      <c r="F46" s="105"/>
      <c r="G46" s="9">
        <f>-'Fane 13. Bortfald'!C18*(1+'Fane 14. Nøgletal'!C14)</f>
        <v>0</v>
      </c>
      <c r="H46" s="14" t="s">
        <v>3</v>
      </c>
      <c r="I46" s="1"/>
    </row>
    <row r="47" spans="1:9" x14ac:dyDescent="0.25">
      <c r="A47" s="1"/>
      <c r="B47" s="103" t="s">
        <v>235</v>
      </c>
      <c r="C47" s="104"/>
      <c r="D47" s="104"/>
      <c r="E47" s="104"/>
      <c r="F47" s="105"/>
      <c r="G47" s="24">
        <f>(G44+G46)*'Fane 14. Nøgletal'!C29</f>
        <v>212467.20506955826</v>
      </c>
      <c r="H47" s="14" t="s">
        <v>3</v>
      </c>
      <c r="I47" s="1"/>
    </row>
    <row r="48" spans="1:9" x14ac:dyDescent="0.25">
      <c r="A48" s="1"/>
      <c r="B48" s="38"/>
      <c r="C48" s="32"/>
      <c r="D48" s="32"/>
      <c r="E48" s="32"/>
      <c r="F48" s="32"/>
      <c r="G48" s="32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8" t="s">
        <v>172</v>
      </c>
      <c r="C52" s="99"/>
      <c r="D52" s="99"/>
      <c r="E52" s="99"/>
      <c r="F52" s="99"/>
      <c r="G52" s="99"/>
      <c r="H52" s="100"/>
      <c r="I52" s="1"/>
    </row>
    <row r="53" spans="1:9" x14ac:dyDescent="0.25">
      <c r="A53" s="1"/>
      <c r="B53" s="103" t="s">
        <v>173</v>
      </c>
      <c r="C53" s="104"/>
      <c r="D53" s="104"/>
      <c r="E53" s="104"/>
      <c r="F53" s="105"/>
      <c r="G53" s="24">
        <f>(G44+G46-G47)*(1+'Fane 14. Nøgletal'!C14)</f>
        <v>10445248.995468102</v>
      </c>
      <c r="H53" s="14" t="s">
        <v>3</v>
      </c>
      <c r="I53" s="1"/>
    </row>
    <row r="54" spans="1:9" x14ac:dyDescent="0.25">
      <c r="A54" s="1"/>
      <c r="B54" s="103" t="s">
        <v>174</v>
      </c>
      <c r="C54" s="104"/>
      <c r="D54" s="104"/>
      <c r="E54" s="104"/>
      <c r="F54" s="105"/>
      <c r="G54" s="9">
        <f>-'Fane 13. Bortfald'!C24*(1+'Fane 14. Nøgletal'!C14)</f>
        <v>0</v>
      </c>
      <c r="H54" s="14" t="s">
        <v>3</v>
      </c>
      <c r="I54" s="1"/>
    </row>
    <row r="55" spans="1:9" x14ac:dyDescent="0.25">
      <c r="A55" s="1"/>
      <c r="B55" s="103" t="s">
        <v>175</v>
      </c>
      <c r="C55" s="104"/>
      <c r="D55" s="104"/>
      <c r="E55" s="104"/>
      <c r="F55" s="105"/>
      <c r="G55" s="24">
        <f>(G53+G54)*'Fane 14. Nøgletal'!C29</f>
        <v>208904.97990936204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53" t="s">
        <v>201</v>
      </c>
      <c r="C58" s="54"/>
      <c r="D58" s="54"/>
      <c r="E58" s="54"/>
      <c r="F58" s="54"/>
      <c r="G58" s="54"/>
      <c r="H58" s="55"/>
      <c r="I58" s="1"/>
    </row>
    <row r="59" spans="1:9" x14ac:dyDescent="0.25">
      <c r="A59" s="1"/>
      <c r="B59" s="59" t="s">
        <v>202</v>
      </c>
      <c r="C59" s="60"/>
      <c r="D59" s="60"/>
      <c r="E59" s="60"/>
      <c r="F59" s="61"/>
      <c r="G59" s="24">
        <f>(G53+G54-G55)*(1+'Fane 14. Nøgletal'!C14)</f>
        <v>10270123.950810084</v>
      </c>
      <c r="H59" s="14" t="s">
        <v>3</v>
      </c>
      <c r="I59" s="1"/>
    </row>
    <row r="60" spans="1:9" x14ac:dyDescent="0.25">
      <c r="A60" s="1"/>
      <c r="B60" s="59" t="s">
        <v>203</v>
      </c>
      <c r="C60" s="60"/>
      <c r="D60" s="60"/>
      <c r="E60" s="60"/>
      <c r="F60" s="61"/>
      <c r="G60" s="9">
        <f>-'Fane 13. Bortfald'!C30*(1+'Fane 14. Nøgletal'!C14)</f>
        <v>0</v>
      </c>
      <c r="H60" s="14" t="s">
        <v>3</v>
      </c>
      <c r="I60" s="1"/>
    </row>
    <row r="61" spans="1:9" x14ac:dyDescent="0.25">
      <c r="A61" s="1"/>
      <c r="B61" s="59" t="s">
        <v>204</v>
      </c>
      <c r="C61" s="60"/>
      <c r="D61" s="60"/>
      <c r="E61" s="60"/>
      <c r="F61" s="61"/>
      <c r="G61" s="24">
        <f>(G59+G60)*'Fane 14. Nøgletal'!C29</f>
        <v>205402.47901620169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2iPVS7ggikphBG+Mu7UcOHL/a6Lz6utaKETuyBReSdNNeTtzjmebwkmXfRL+rRUl5st4rp3NI/lL7kRnzFJ2uw==" saltValue="G4q55us+we6F4b0b6pkCVw==" spinCount="100000" sheet="1" objects="1" scenarios="1"/>
  <mergeCells count="36">
    <mergeCell ref="B12:F12"/>
    <mergeCell ref="B11:H11"/>
    <mergeCell ref="B7:F7"/>
    <mergeCell ref="B2:H3"/>
    <mergeCell ref="B25:H25"/>
    <mergeCell ref="B5:H5"/>
    <mergeCell ref="B6:F6"/>
    <mergeCell ref="B8:F8"/>
    <mergeCell ref="B55:F55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52:H52"/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8.710937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12" t="s">
        <v>131</v>
      </c>
      <c r="C1" s="112"/>
      <c r="D1" s="112"/>
      <c r="E1" s="112"/>
      <c r="F1" s="112"/>
      <c r="G1" s="112"/>
      <c r="H1" s="112"/>
      <c r="I1" s="1"/>
    </row>
    <row r="2" spans="1:9" ht="15" customHeight="1" x14ac:dyDescent="0.25">
      <c r="A2" s="1"/>
      <c r="B2" s="112"/>
      <c r="C2" s="112"/>
      <c r="D2" s="112"/>
      <c r="E2" s="112"/>
      <c r="F2" s="112"/>
      <c r="G2" s="112"/>
      <c r="H2" s="112"/>
      <c r="I2" s="1"/>
    </row>
    <row r="3" spans="1:9" ht="15" customHeight="1" x14ac:dyDescent="0.25">
      <c r="A3" s="1"/>
      <c r="B3" s="113"/>
      <c r="C3" s="113"/>
      <c r="D3" s="113"/>
      <c r="E3" s="113"/>
      <c r="F3" s="113"/>
      <c r="G3" s="113"/>
      <c r="H3" s="113"/>
      <c r="I3" s="1"/>
    </row>
    <row r="4" spans="1:9" x14ac:dyDescent="0.25">
      <c r="A4" s="1"/>
      <c r="B4" s="98" t="s">
        <v>60</v>
      </c>
      <c r="C4" s="99"/>
      <c r="D4" s="99"/>
      <c r="E4" s="99"/>
      <c r="F4" s="99"/>
      <c r="G4" s="99"/>
      <c r="H4" s="100"/>
      <c r="I4" s="1"/>
    </row>
    <row r="5" spans="1:9" x14ac:dyDescent="0.25">
      <c r="A5" s="1"/>
      <c r="B5" s="103" t="s">
        <v>65</v>
      </c>
      <c r="C5" s="104"/>
      <c r="D5" s="104"/>
      <c r="E5" s="104"/>
      <c r="F5" s="105"/>
      <c r="G5" s="24">
        <v>5512697.6566365687</v>
      </c>
      <c r="H5" s="14" t="s">
        <v>3</v>
      </c>
      <c r="I5" s="1"/>
    </row>
    <row r="6" spans="1:9" x14ac:dyDescent="0.25">
      <c r="A6" s="1"/>
      <c r="B6" s="103" t="s">
        <v>61</v>
      </c>
      <c r="C6" s="104"/>
      <c r="D6" s="104"/>
      <c r="E6" s="104"/>
      <c r="F6" s="105"/>
      <c r="G6" s="24">
        <f>G5*'Fane 14. Nøgletal'!C19</f>
        <v>50165.548675392776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8" t="s">
        <v>66</v>
      </c>
      <c r="C9" s="99"/>
      <c r="D9" s="99"/>
      <c r="E9" s="99"/>
      <c r="F9" s="99"/>
      <c r="G9" s="99"/>
      <c r="H9" s="100"/>
      <c r="I9" s="1"/>
    </row>
    <row r="10" spans="1:9" x14ac:dyDescent="0.25">
      <c r="A10" s="1"/>
      <c r="B10" s="103" t="s">
        <v>67</v>
      </c>
      <c r="C10" s="104"/>
      <c r="D10" s="104"/>
      <c r="E10" s="104"/>
      <c r="F10" s="105"/>
      <c r="G10" s="24">
        <f>(G5-G6)*(1+'Fane 14. Nøgletal'!C10)</f>
        <v>5558126.4198504966</v>
      </c>
      <c r="H10" s="14" t="s">
        <v>3</v>
      </c>
      <c r="I10" s="1"/>
    </row>
    <row r="11" spans="1:9" x14ac:dyDescent="0.25">
      <c r="A11" s="1"/>
      <c r="B11" s="103" t="s">
        <v>147</v>
      </c>
      <c r="C11" s="104"/>
      <c r="D11" s="104"/>
      <c r="E11" s="104"/>
      <c r="F11" s="105"/>
      <c r="G11" s="24">
        <v>31060.120923975872</v>
      </c>
      <c r="H11" s="14" t="s">
        <v>3</v>
      </c>
      <c r="I11" s="1"/>
    </row>
    <row r="12" spans="1:9" x14ac:dyDescent="0.25">
      <c r="A12" s="1"/>
      <c r="B12" s="109" t="s">
        <v>68</v>
      </c>
      <c r="C12" s="110"/>
      <c r="D12" s="110"/>
      <c r="E12" s="110"/>
      <c r="F12" s="111"/>
      <c r="G12" s="9">
        <v>0</v>
      </c>
      <c r="H12" s="14" t="s">
        <v>3</v>
      </c>
      <c r="I12" s="1"/>
    </row>
    <row r="13" spans="1:9" x14ac:dyDescent="0.25">
      <c r="A13" s="1"/>
      <c r="B13" s="103" t="s">
        <v>69</v>
      </c>
      <c r="C13" s="104"/>
      <c r="D13" s="104"/>
      <c r="E13" s="104"/>
      <c r="F13" s="105"/>
      <c r="G13" s="24">
        <f>SUM(G10:G12)*'Fane 14. Nøgletal'!C20</f>
        <v>98928.601771708156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8" t="s">
        <v>70</v>
      </c>
      <c r="C16" s="99"/>
      <c r="D16" s="99"/>
      <c r="E16" s="99"/>
      <c r="F16" s="99"/>
      <c r="G16" s="99"/>
      <c r="H16" s="100"/>
      <c r="I16" s="1"/>
    </row>
    <row r="17" spans="1:9" x14ac:dyDescent="0.25">
      <c r="A17" s="1"/>
      <c r="B17" s="103" t="s">
        <v>71</v>
      </c>
      <c r="C17" s="104"/>
      <c r="D17" s="104"/>
      <c r="E17" s="104"/>
      <c r="F17" s="105"/>
      <c r="G17" s="24">
        <f>(SUM(G10:G12)-G13)*(1+'Fane 14. Nøgletal'!C10)</f>
        <v>5586337.4529353119</v>
      </c>
      <c r="H17" s="14" t="s">
        <v>3</v>
      </c>
      <c r="I17" s="1"/>
    </row>
    <row r="18" spans="1:9" x14ac:dyDescent="0.25">
      <c r="A18" s="1"/>
      <c r="B18" s="109" t="s">
        <v>72</v>
      </c>
      <c r="C18" s="110"/>
      <c r="D18" s="110"/>
      <c r="E18" s="110"/>
      <c r="F18" s="111"/>
      <c r="G18" s="9">
        <v>0</v>
      </c>
      <c r="H18" s="14" t="s">
        <v>3</v>
      </c>
      <c r="I18" s="1"/>
    </row>
    <row r="19" spans="1:9" x14ac:dyDescent="0.25">
      <c r="A19" s="1"/>
      <c r="B19" s="103" t="s">
        <v>73</v>
      </c>
      <c r="C19" s="104"/>
      <c r="D19" s="104"/>
      <c r="E19" s="104"/>
      <c r="F19" s="105"/>
      <c r="G19" s="24">
        <f>G17*'Fane 14. Nøgletal'!C20+G18*'Fane 14. Nøgletal'!C21</f>
        <v>98878.172916955024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8" t="s">
        <v>74</v>
      </c>
      <c r="C22" s="99"/>
      <c r="D22" s="99"/>
      <c r="E22" s="99"/>
      <c r="F22" s="99"/>
      <c r="G22" s="99"/>
      <c r="H22" s="100"/>
      <c r="I22" s="1"/>
    </row>
    <row r="23" spans="1:9" x14ac:dyDescent="0.25">
      <c r="A23" s="1"/>
      <c r="B23" s="103" t="s">
        <v>75</v>
      </c>
      <c r="C23" s="104"/>
      <c r="D23" s="104"/>
      <c r="E23" s="104"/>
      <c r="F23" s="105"/>
      <c r="G23" s="24">
        <f>(G17+G18-G19)*(1+'Fane 14. Nøgletal'!C12)</f>
        <v>5595562.2278347183</v>
      </c>
      <c r="H23" s="14" t="s">
        <v>3</v>
      </c>
      <c r="I23" s="1"/>
    </row>
    <row r="24" spans="1:9" x14ac:dyDescent="0.25">
      <c r="A24" s="1"/>
      <c r="B24" s="109" t="s">
        <v>76</v>
      </c>
      <c r="C24" s="110"/>
      <c r="D24" s="110"/>
      <c r="E24" s="110"/>
      <c r="F24" s="111"/>
      <c r="G24" s="9">
        <v>0</v>
      </c>
      <c r="H24" s="14" t="s">
        <v>3</v>
      </c>
      <c r="I24" s="1"/>
    </row>
    <row r="25" spans="1:9" x14ac:dyDescent="0.25">
      <c r="A25" s="1"/>
      <c r="B25" s="103" t="s">
        <v>77</v>
      </c>
      <c r="C25" s="104"/>
      <c r="D25" s="104"/>
      <c r="E25" s="104"/>
      <c r="F25" s="105"/>
      <c r="G25" s="24">
        <f>(G23+G24)*'Fane 14. Nøgletal'!C22</f>
        <v>158913.96727050602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8" t="s">
        <v>78</v>
      </c>
      <c r="C28" s="99"/>
      <c r="D28" s="99"/>
      <c r="E28" s="99"/>
      <c r="F28" s="99"/>
      <c r="G28" s="99"/>
      <c r="H28" s="100"/>
      <c r="I28" s="1"/>
    </row>
    <row r="29" spans="1:9" x14ac:dyDescent="0.25">
      <c r="A29" s="1"/>
      <c r="B29" s="103" t="s">
        <v>79</v>
      </c>
      <c r="C29" s="104"/>
      <c r="D29" s="104"/>
      <c r="E29" s="104"/>
      <c r="F29" s="105"/>
      <c r="G29" s="24">
        <f>(G23+G24-G25)*(1+'Fane 14. Nøgletal'!C12)</f>
        <v>5543750.2312973281</v>
      </c>
      <c r="H29" s="14" t="s">
        <v>3</v>
      </c>
      <c r="I29" s="1"/>
    </row>
    <row r="30" spans="1:9" x14ac:dyDescent="0.25">
      <c r="A30" s="1"/>
      <c r="B30" s="103" t="s">
        <v>176</v>
      </c>
      <c r="C30" s="104"/>
      <c r="D30" s="104"/>
      <c r="E30" s="104"/>
      <c r="F30" s="105"/>
      <c r="G30" s="9">
        <v>0</v>
      </c>
      <c r="H30" s="14" t="s">
        <v>3</v>
      </c>
      <c r="I30" s="1"/>
    </row>
    <row r="31" spans="1:9" x14ac:dyDescent="0.25">
      <c r="A31" s="1"/>
      <c r="B31" s="103" t="s">
        <v>80</v>
      </c>
      <c r="C31" s="104"/>
      <c r="D31" s="104"/>
      <c r="E31" s="104"/>
      <c r="F31" s="105"/>
      <c r="G31" s="24">
        <f>G29*'Fane 14. Nøgletal'!C22+G30*'Fane 14. Nøgletal'!C23</f>
        <v>157442.50656884414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8" t="s">
        <v>238</v>
      </c>
      <c r="C34" s="99"/>
      <c r="D34" s="99"/>
      <c r="E34" s="99"/>
      <c r="F34" s="99"/>
      <c r="G34" s="99"/>
      <c r="H34" s="100"/>
      <c r="I34" s="1"/>
    </row>
    <row r="35" spans="1:9" x14ac:dyDescent="0.25">
      <c r="A35" s="1"/>
      <c r="B35" s="103" t="s">
        <v>82</v>
      </c>
      <c r="C35" s="104"/>
      <c r="D35" s="104"/>
      <c r="E35" s="104"/>
      <c r="F35" s="105"/>
      <c r="G35" s="24">
        <f>(G29+G30-G31)*(1+'Fane 14. Nøgletal'!C14)</f>
        <v>5404082.5402200883</v>
      </c>
      <c r="H35" s="14" t="s">
        <v>3</v>
      </c>
      <c r="I35" s="1"/>
    </row>
    <row r="36" spans="1:9" x14ac:dyDescent="0.25">
      <c r="A36" s="1"/>
      <c r="B36" s="103" t="s">
        <v>240</v>
      </c>
      <c r="C36" s="104"/>
      <c r="D36" s="104"/>
      <c r="E36" s="104"/>
      <c r="F36" s="105"/>
      <c r="G36" s="9">
        <f>SUM('Fane 2.1. Økonomisk ramme 2022'!C11,'Fane 2.1. Økonomisk ramme 2022'!C13,'Fane 2.1. Økonomisk ramme 2022'!C15)*(1+'Fane 14. Nøgletal'!C14)</f>
        <v>0</v>
      </c>
      <c r="H36" s="14" t="s">
        <v>3</v>
      </c>
      <c r="I36" s="1"/>
    </row>
    <row r="37" spans="1:9" x14ac:dyDescent="0.25">
      <c r="A37" s="1"/>
      <c r="B37" s="103" t="s">
        <v>239</v>
      </c>
      <c r="C37" s="104"/>
      <c r="D37" s="104"/>
      <c r="E37" s="104"/>
      <c r="F37" s="105"/>
      <c r="G37" s="24">
        <f>(G35+G36)*'Fane 14. Nøgletal'!C24</f>
        <v>79980.421595257314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8" t="s">
        <v>85</v>
      </c>
      <c r="C40" s="99"/>
      <c r="D40" s="99"/>
      <c r="E40" s="99"/>
      <c r="F40" s="99"/>
      <c r="G40" s="99"/>
      <c r="H40" s="100"/>
      <c r="I40" s="1"/>
    </row>
    <row r="41" spans="1:9" x14ac:dyDescent="0.25">
      <c r="A41" s="1"/>
      <c r="B41" s="103" t="s">
        <v>81</v>
      </c>
      <c r="C41" s="104"/>
      <c r="D41" s="104"/>
      <c r="E41" s="104"/>
      <c r="F41" s="105"/>
      <c r="G41" s="24">
        <f>(G35+G36-G37)*(1+'Fane 14. Nøgletal'!C14)</f>
        <v>5341671.6556162927</v>
      </c>
      <c r="H41" s="14" t="s">
        <v>3</v>
      </c>
      <c r="I41" s="1"/>
    </row>
    <row r="42" spans="1:9" x14ac:dyDescent="0.25">
      <c r="A42" s="1"/>
      <c r="B42" s="47" t="s">
        <v>242</v>
      </c>
      <c r="C42" s="60"/>
      <c r="D42" s="60"/>
      <c r="E42" s="60"/>
      <c r="F42" s="61"/>
      <c r="G42" s="9">
        <f>G36*(1+'Fane 14. Nøgletal'!C14)</f>
        <v>0</v>
      </c>
      <c r="H42" s="14" t="s">
        <v>3</v>
      </c>
      <c r="I42" s="1"/>
    </row>
    <row r="43" spans="1:9" x14ac:dyDescent="0.25">
      <c r="A43" s="1"/>
      <c r="B43" s="103" t="s">
        <v>101</v>
      </c>
      <c r="C43" s="104"/>
      <c r="D43" s="104"/>
      <c r="E43" s="104"/>
      <c r="F43" s="105"/>
      <c r="G43" s="9">
        <f>-'Fane 13. Bortfald'!E18*(1+'Fane 14. Nøgletal'!C14)</f>
        <v>0</v>
      </c>
      <c r="H43" s="14" t="s">
        <v>3</v>
      </c>
      <c r="I43" s="1"/>
    </row>
    <row r="44" spans="1:9" x14ac:dyDescent="0.25">
      <c r="A44" s="1"/>
      <c r="B44" s="103" t="s">
        <v>241</v>
      </c>
      <c r="C44" s="104"/>
      <c r="D44" s="104"/>
      <c r="E44" s="104"/>
      <c r="F44" s="105"/>
      <c r="G44" s="24">
        <f>(G41+G43)*'Fane 14. Nøgletal'!C24</f>
        <v>79056.740503121138</v>
      </c>
      <c r="H44" s="14" t="s">
        <v>3</v>
      </c>
      <c r="I44" s="1"/>
    </row>
    <row r="45" spans="1:9" x14ac:dyDescent="0.2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8" t="s">
        <v>181</v>
      </c>
      <c r="C52" s="99"/>
      <c r="D52" s="99"/>
      <c r="E52" s="99"/>
      <c r="F52" s="99"/>
      <c r="G52" s="99"/>
      <c r="H52" s="100"/>
      <c r="I52" s="1"/>
    </row>
    <row r="53" spans="1:9" x14ac:dyDescent="0.25">
      <c r="A53" s="1"/>
      <c r="B53" s="103" t="s">
        <v>182</v>
      </c>
      <c r="C53" s="104"/>
      <c r="D53" s="104"/>
      <c r="E53" s="104"/>
      <c r="F53" s="105"/>
      <c r="G53" s="24">
        <f>(G41+G43-G44)*(1+'Fane 14. Nøgletal'!C14)</f>
        <v>5279981.5443330454</v>
      </c>
      <c r="H53" s="14" t="s">
        <v>3</v>
      </c>
      <c r="I53" s="1"/>
    </row>
    <row r="54" spans="1:9" x14ac:dyDescent="0.25">
      <c r="A54" s="1"/>
      <c r="B54" s="103" t="s">
        <v>183</v>
      </c>
      <c r="C54" s="104"/>
      <c r="D54" s="104"/>
      <c r="E54" s="104"/>
      <c r="F54" s="105"/>
      <c r="G54" s="9">
        <f>-'Fane 13. Bortfald'!E24*(1+'Fane 14. Nøgletal'!C13)</f>
        <v>0</v>
      </c>
      <c r="H54" s="14" t="s">
        <v>3</v>
      </c>
      <c r="I54" s="1"/>
    </row>
    <row r="55" spans="1:9" x14ac:dyDescent="0.25">
      <c r="A55" s="1"/>
      <c r="B55" s="103" t="s">
        <v>184</v>
      </c>
      <c r="C55" s="104"/>
      <c r="D55" s="104"/>
      <c r="E55" s="104"/>
      <c r="F55" s="105"/>
      <c r="G55" s="24">
        <f>(G53+G54)*'Fane 14. Nøgletal'!C24</f>
        <v>78143.726856129069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98" t="s">
        <v>205</v>
      </c>
      <c r="C58" s="99"/>
      <c r="D58" s="99"/>
      <c r="E58" s="99"/>
      <c r="F58" s="99"/>
      <c r="G58" s="99"/>
      <c r="H58" s="100"/>
      <c r="I58" s="1"/>
    </row>
    <row r="59" spans="1:9" x14ac:dyDescent="0.25">
      <c r="A59" s="1"/>
      <c r="B59" s="103" t="s">
        <v>255</v>
      </c>
      <c r="C59" s="104"/>
      <c r="D59" s="104"/>
      <c r="E59" s="104"/>
      <c r="F59" s="105"/>
      <c r="G59" s="24">
        <f>(G53+G54-G55)*(1+'Fane 14. Nøgletal'!C14)</f>
        <v>5219003.8822745904</v>
      </c>
      <c r="H59" s="14" t="s">
        <v>3</v>
      </c>
      <c r="I59" s="1"/>
    </row>
    <row r="60" spans="1:9" x14ac:dyDescent="0.25">
      <c r="A60" s="1"/>
      <c r="B60" s="103" t="s">
        <v>256</v>
      </c>
      <c r="C60" s="104"/>
      <c r="D60" s="104"/>
      <c r="E60" s="104"/>
      <c r="F60" s="105"/>
      <c r="G60" s="9">
        <f>-'Fane 13. Bortfald'!E30*(1+'Fane 14. Nøgletal'!C14)</f>
        <v>0</v>
      </c>
      <c r="H60" s="14" t="s">
        <v>3</v>
      </c>
      <c r="I60" s="1"/>
    </row>
    <row r="61" spans="1:9" x14ac:dyDescent="0.25">
      <c r="A61" s="1"/>
      <c r="B61" s="103" t="s">
        <v>257</v>
      </c>
      <c r="C61" s="104"/>
      <c r="D61" s="104"/>
      <c r="E61" s="104"/>
      <c r="F61" s="105"/>
      <c r="G61" s="24">
        <f>(G59+G60)*'Fane 14. Nøgletal'!C24</f>
        <v>77241.257457663945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VzBW0Sndw3OY5d6ibgR1AhaGcI5IvBCrJw7S7QM/HGWe7gMOAe/tOT/5NhkkCvKbhRA1yKG2lOW1/I8pFZronA==" saltValue="pg2QTGb28e6qnkwmr0sKtg==" spinCount="100000" sheet="1" objects="1" scenarios="1"/>
  <mergeCells count="37"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23:F23"/>
    <mergeCell ref="B24:F24"/>
    <mergeCell ref="B25:F25"/>
    <mergeCell ref="B41:F41"/>
    <mergeCell ref="B28:H28"/>
    <mergeCell ref="B29:F29"/>
    <mergeCell ref="B31:F31"/>
    <mergeCell ref="B34:H34"/>
    <mergeCell ref="B36:F36"/>
    <mergeCell ref="B37:F37"/>
    <mergeCell ref="B40:H40"/>
    <mergeCell ref="B58:H58"/>
    <mergeCell ref="B59:F59"/>
    <mergeCell ref="B60:F60"/>
    <mergeCell ref="B61:F61"/>
    <mergeCell ref="B43:F4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96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10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3" t="s">
        <v>243</v>
      </c>
      <c r="C9" s="104"/>
      <c r="D9" s="104"/>
      <c r="E9" s="104"/>
      <c r="F9" s="105"/>
      <c r="G9" s="23">
        <v>1.064521641880322E-2</v>
      </c>
      <c r="H9" s="14"/>
      <c r="I9" s="1"/>
    </row>
    <row r="10" spans="1:9" x14ac:dyDescent="0.25">
      <c r="A10" s="1"/>
      <c r="B10" s="103" t="s">
        <v>86</v>
      </c>
      <c r="C10" s="104"/>
      <c r="D10" s="104"/>
      <c r="E10" s="104"/>
      <c r="F10" s="105"/>
      <c r="G10" s="23">
        <v>1.7367748277520443E-4</v>
      </c>
      <c r="H10" s="14"/>
      <c r="I10" s="1"/>
    </row>
    <row r="11" spans="1:9" x14ac:dyDescent="0.25">
      <c r="A11" s="1"/>
      <c r="B11" s="103" t="s">
        <v>87</v>
      </c>
      <c r="C11" s="104"/>
      <c r="D11" s="104"/>
      <c r="E11" s="104"/>
      <c r="F11" s="105"/>
      <c r="G11" s="41">
        <v>8.574952185753193E-4</v>
      </c>
      <c r="H11" s="14"/>
      <c r="I11" s="1"/>
    </row>
    <row r="12" spans="1:9" x14ac:dyDescent="0.25">
      <c r="A12" s="1"/>
      <c r="B12" s="103" t="s">
        <v>206</v>
      </c>
      <c r="C12" s="104"/>
      <c r="D12" s="104"/>
      <c r="E12" s="104"/>
      <c r="F12" s="105"/>
      <c r="G12" s="41">
        <v>0</v>
      </c>
      <c r="H12" s="46"/>
      <c r="I12" s="1"/>
    </row>
    <row r="13" spans="1:9" x14ac:dyDescent="0.2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25">
      <c r="A14" s="1"/>
      <c r="B14" s="114" t="s">
        <v>207</v>
      </c>
      <c r="C14" s="114"/>
      <c r="D14" s="114"/>
      <c r="E14" s="114"/>
      <c r="F14" s="114"/>
      <c r="G14" s="114"/>
      <c r="H14" s="114"/>
      <c r="I14" s="1"/>
    </row>
    <row r="15" spans="1:9" ht="14.25" customHeight="1" x14ac:dyDescent="0.25">
      <c r="A15" s="18"/>
      <c r="B15" s="114"/>
      <c r="C15" s="114"/>
      <c r="D15" s="114"/>
      <c r="E15" s="114"/>
      <c r="F15" s="114"/>
      <c r="G15" s="114"/>
      <c r="H15" s="114"/>
      <c r="I15" s="18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bqj9b/BpMiUKtvP/mJzGrg+OU8UERlyUvjsrIT7/8940vOSxw8lilLocQ/ElF6PDFT8IpsuMBbzT6t98hWmnkQ==" saltValue="387gP6FRzkBg8NcCQOs03w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2021-09-14T08:11:21Z</dcterms:modified>
</cp:coreProperties>
</file>