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0" i="32" l="1"/>
  <c r="E35" i="32" l="1"/>
  <c r="E26" i="32" l="1"/>
  <c r="E37" i="32" s="1"/>
  <c r="C23" i="23" l="1"/>
  <c r="C24" i="15"/>
  <c r="C23" i="22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4" i="37" s="1"/>
  <c r="C15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4" i="37" s="1"/>
  <c r="E15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<sst xmlns="http://schemas.openxmlformats.org/spreadsheetml/2006/main" count="624" uniqueCount="255">
  <si>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</si>
  <si>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</si>
  <si>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</si>
  <si>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</si>
  <si>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</si>
  <si>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</si>
  <si>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</si>
  <si>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</si>
  <si>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</si>
  <si>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</si>
  <si>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</si>
  <si>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</si>
  <si>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</si>
  <si>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</si>
  <si>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</si>
  <si>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</si>
  <si>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</si>
  <si>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</si>
  <si>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</si>
  <si>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</si>
  <si>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</si>
  <si>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</si>
  <si>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</si>
  <si>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</si>
  <si>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</si>
  <si>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</si>
  <si>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</si>
  <si>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</si>
  <si>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</si>
  <si>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</si>
  <si>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</si>
  <si>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</si>
  <si>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</si>
  <si>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</si>
  <si>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</si>
  <si>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</si>
  <si>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</si>
  <si>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</si>
  <si>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</si>
  <si>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</si>
  <si>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</si>
  <si>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</si>
  <si>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</si>
  <si>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</si>
  <si>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</si>
  <si>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</si>
  <si>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</si>
  <si>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</si>
  <si>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</si>
  <si>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</si>
  <si>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</si>
  <si>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</si>
  <si>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</si>
  <si>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</si>
  <si>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</si>
  <si>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</si>
  <si>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</si>
  <si>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</si>
  <si>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</si>
  <si>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</si>
  <si>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</si>
  <si>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</si>
  <si>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</si>
  <si>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</si>
  <si>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</si>
  <si>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</si>
  <si>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</si>
  <si>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</si>
  <si>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</si>
  <si>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</si>
  <si>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</si>
  <si>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</si>
  <si>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</si>
  <si>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</si>
  <si>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</si>
  <si>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</si>
  <si>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</si>
  <si>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</si>
  <si>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</si>
  <si>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</si>
  <si>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</si>
  <si>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</si>
  <si>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</si>
  <si>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</si>
  <si>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</si>
  <si>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</si>
  <si>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</si>
  <si>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</si>
  <si>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</si>
  <si>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</si>
  <si>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</si>
  <si>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</si>
  <si>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</si>
  <si>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</si>
  <si>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</si>
  <si>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</si>
  <si>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</si>
  <si>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</si>
  <si>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</si>
  <si>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</si>
  <si>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</si>
  <si>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</si>
  <si>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</si>
  <si>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</si>
  <si>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</si>
  <si>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</si>
  <si>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</si>
  <si>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</si>
  <si>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</si>
  <si>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</si>
  <si>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</si>
  <si>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</si>
  <si>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</si>
  <si>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</si>
  <si>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</si>
  <si>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</si>
  <si>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</si>
  <si>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</si>
  <si>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</si>
  <si>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</si>
  <si>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</si>
  <si>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</si>
  <si>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</si>
  <si>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</si>
  <si>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</si>
  <si>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</si>
  <si>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</si>
  <si>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</si>
  <si>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</si>
  <si>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</si>
  <si>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</si>
  <si>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</si>
  <si>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</si>
  <si>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</si>
  <si>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</si>
  <si>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</si>
  <si>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</si>
  <si>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</si>
  <si>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</si>
  <si>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</si>
  <si>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</si>
  <si>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</si>
  <si>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</si>
  <si>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</si>
  <si>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</si>
  <si>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</si>
  <si>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</si>
  <si>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</si>
  <si>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</si>
  <si>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</si>
  <si>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</si>
  <si>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</si>
  <si>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</si>
  <si>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</si>
  <si>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</si>
  <si>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</si>
  <si>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</si>
  <si>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</si>
  <si>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</si>
  <si>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</si>
  <si>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</si>
  <si>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</si>
  <si>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</si>
  <si>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</si>
  <si>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</si>
  <si>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</si>
  <si>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</si>
  <si>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</si>
  <si>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</si>
  <si>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</si>
  <si>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</si>
  <si>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</si>
  <si>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</si>
  <si>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</si>
  <si>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</si>
  <si>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</si>
  <si>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</si>
  <si>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</si>
  <si>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</si>
  <si>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</si>
  <si>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</si>
  <si>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</si>
  <si>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</si>
  <si>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</si>
  <si>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</si>
  <si>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</si>
  <si>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</si>
  <si>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</si>
  <si>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</si>
  <si>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</si>
  <si>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</si>
  <si>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</si>
  <si>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</si>
  <si>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</si>
  <si>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</si>
  <si>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</si>
  <si>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</si>
  <si>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</si>
  <si>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</si>
  <si>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</si>
  <si>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</si>
  <si>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</si>
  <si>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</si>
  <si>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</si>
  <si>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</si>
  <si>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</si>
  <si>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</si>
  <si>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</si>
  <si>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</si>
  <si>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</si>
  <si>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</si>
  <si>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</si>
  <si>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</si>
  <si>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</si>
  <si>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</si>
  <si>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</si>
  <si>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</si>
  <si>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</si>
  <si>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</si>
  <si>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</si>
  <si>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</si>
  <si>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</si>
  <si>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</si>
  <si>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</si>
  <si>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</si>
  <si>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</si>
  <si>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Møn Nyt Vandværk</t>
  </si>
  <si>
    <t>Byggemodning og nye tilslutninger</t>
  </si>
  <si>
    <t>Ingen tilknyttet virksomhed</t>
  </si>
  <si>
    <t>Flytning af ledninger</t>
  </si>
  <si>
    <t>Afgift for ledningsført vand</t>
  </si>
  <si>
    <t>Afgift til Forsyningssekretariatet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</si>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</sst>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165" fontId="0" fillId="0" borderId="0" xfId="1" applyNumberFormat="1" applyFont="1" applyProtection="1"/>
    <xf numFmtId="3" fontId="0" fillId="0" borderId="0" xfId="0" applyNumberFormat="1" applyProtection="1"/>
    <xf numFmtId="165" fontId="0" fillId="0" borderId="0" xfId="0" applyNumberForma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4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254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5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3" t="s">
        <v>163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15</v>
      </c>
      <c r="D14" s="83" t="s">
        <v>83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35</v>
      </c>
      <c r="D15" s="83" t="s">
        <v>128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36</v>
      </c>
      <c r="D16" s="83" t="s">
        <v>180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127</v>
      </c>
      <c r="D17" s="83" t="s">
        <v>181</v>
      </c>
      <c r="E17" s="84"/>
      <c r="F17" s="84"/>
      <c r="G17" s="85"/>
      <c r="H17" s="1"/>
      <c r="I17" s="1"/>
    </row>
    <row r="18" spans="1:9" x14ac:dyDescent="0.25">
      <c r="A18" s="1"/>
      <c r="B18" s="1"/>
      <c r="C18" s="32" t="s">
        <v>111</v>
      </c>
      <c r="D18" s="89" t="s">
        <v>100</v>
      </c>
      <c r="E18" s="90"/>
      <c r="F18" s="90"/>
      <c r="G18" s="91"/>
      <c r="H18" s="1"/>
      <c r="I18" s="1"/>
    </row>
    <row r="19" spans="1:9" x14ac:dyDescent="0.25">
      <c r="A19" s="1"/>
      <c r="B19" s="1"/>
      <c r="C19" s="32" t="s">
        <v>112</v>
      </c>
      <c r="D19" s="89" t="s">
        <v>101</v>
      </c>
      <c r="E19" s="90"/>
      <c r="F19" s="90"/>
      <c r="G19" s="91"/>
      <c r="H19" s="1"/>
      <c r="I19" s="1"/>
    </row>
    <row r="20" spans="1:9" x14ac:dyDescent="0.25">
      <c r="A20" s="1"/>
      <c r="B20" s="1"/>
      <c r="C20" s="32" t="s">
        <v>7</v>
      </c>
      <c r="D20" s="89" t="s">
        <v>9</v>
      </c>
      <c r="E20" s="90"/>
      <c r="F20" s="90"/>
      <c r="G20" s="91"/>
      <c r="H20" s="1"/>
      <c r="I20" s="1"/>
    </row>
    <row r="21" spans="1:9" x14ac:dyDescent="0.25">
      <c r="A21" s="1"/>
      <c r="B21" s="1"/>
      <c r="C21" s="6" t="s">
        <v>113</v>
      </c>
      <c r="D21" s="80" t="s">
        <v>12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87</v>
      </c>
      <c r="D22" s="74" t="s">
        <v>182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77" t="s">
        <v>109</v>
      </c>
      <c r="E28" s="78"/>
      <c r="F28" s="78"/>
      <c r="G28" s="7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xacxCU6ZXKN4zwSg0tJb/Qf2TpTRXI/aY7XkKiqoBkTGrbfew+fk0eaYL4mKvqHcnB0EzSi9Q+kmSJ7HdfV4g==" saltValue="gdwto0xQb6ZB1lK0GE+Oy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2" t="s">
        <v>117</v>
      </c>
      <c r="C3" s="92"/>
      <c r="D3" s="92"/>
      <c r="E3" s="1"/>
      <c r="F3" s="1"/>
    </row>
    <row r="4" spans="1:6" ht="15" customHeight="1" x14ac:dyDescent="0.25">
      <c r="A4" s="1"/>
      <c r="B4" s="92"/>
      <c r="C4" s="92"/>
      <c r="D4" s="9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8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9" t="s">
        <v>230</v>
      </c>
      <c r="C10" s="9">
        <v>6978602</v>
      </c>
      <c r="D10" s="14" t="s">
        <v>3</v>
      </c>
      <c r="E10" s="1"/>
      <c r="F10" s="1"/>
    </row>
    <row r="11" spans="1:6" x14ac:dyDescent="0.25">
      <c r="A11" s="1"/>
      <c r="B11" s="69" t="s">
        <v>231</v>
      </c>
      <c r="C11" s="9">
        <v>56226</v>
      </c>
      <c r="D11" s="14" t="s">
        <v>3</v>
      </c>
      <c r="E11" s="1"/>
      <c r="F11" s="1"/>
    </row>
    <row r="12" spans="1:6" x14ac:dyDescent="0.25">
      <c r="A12" s="1"/>
      <c r="B12" s="69" t="s">
        <v>232</v>
      </c>
      <c r="C12" s="9">
        <v>80641</v>
      </c>
      <c r="D12" s="14" t="s">
        <v>3</v>
      </c>
      <c r="E12" s="1"/>
      <c r="F12" s="1"/>
    </row>
    <row r="13" spans="1:6" x14ac:dyDescent="0.25">
      <c r="A13" s="1"/>
      <c r="B13" s="61" t="s">
        <v>204</v>
      </c>
      <c r="C13" s="12">
        <f>SUM(C10:C12)</f>
        <v>7115469</v>
      </c>
      <c r="D13" s="13" t="s">
        <v>3</v>
      </c>
      <c r="E13" s="1"/>
      <c r="F13" s="1"/>
    </row>
    <row r="14" spans="1:6" x14ac:dyDescent="0.25">
      <c r="A14" s="1"/>
      <c r="B14" s="61" t="s">
        <v>205</v>
      </c>
      <c r="C14" s="12">
        <f>C13*(1+'Fane 12. Nøgletal'!C14)^2</f>
        <v>7162508.5828574114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wyvrYz4IjrtBgkV373ojTeH6yH20kzM7iSUkAEKI5JfO/KjVpgvaMDiGdxYJPUY1TRiaDdgM+iON9vht8IVCA==" saltValue="13LoO0oSe14mgLo/7HkC6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J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11.71093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0" t="s">
        <v>220</v>
      </c>
      <c r="C3" s="100"/>
      <c r="D3" s="100"/>
      <c r="E3" s="100"/>
      <c r="F3" s="100"/>
      <c r="G3" s="1"/>
    </row>
    <row r="4" spans="1:7" ht="15" customHeight="1" x14ac:dyDescent="0.25">
      <c r="A4" s="1"/>
      <c r="B4" s="100"/>
      <c r="C4" s="100"/>
      <c r="D4" s="100"/>
      <c r="E4" s="100"/>
      <c r="F4" s="100"/>
      <c r="G4" s="1"/>
    </row>
    <row r="5" spans="1:7" ht="15" customHeight="1" x14ac:dyDescent="0.25">
      <c r="A5" s="1"/>
      <c r="B5" s="56"/>
      <c r="C5" s="56"/>
      <c r="D5" s="56"/>
      <c r="E5" s="56"/>
      <c r="F5" s="56"/>
      <c r="G5" s="1"/>
    </row>
    <row r="6" spans="1:7" ht="15" customHeight="1" x14ac:dyDescent="0.25">
      <c r="A6" s="1"/>
      <c r="B6" s="56"/>
      <c r="C6" s="56"/>
      <c r="D6" s="56"/>
      <c r="E6" s="56"/>
      <c r="F6" s="5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235</v>
      </c>
      <c r="C8" s="116"/>
      <c r="D8" s="116"/>
      <c r="E8" s="116"/>
      <c r="F8" s="117"/>
      <c r="G8" s="1"/>
    </row>
    <row r="9" spans="1:7" x14ac:dyDescent="0.25">
      <c r="A9" s="1"/>
      <c r="B9" s="118" t="s">
        <v>236</v>
      </c>
      <c r="C9" s="119"/>
      <c r="D9" s="120"/>
      <c r="E9" s="9">
        <v>-724467.57101627067</v>
      </c>
      <c r="F9" s="14" t="s">
        <v>3</v>
      </c>
      <c r="G9" s="1"/>
    </row>
    <row r="10" spans="1:7" x14ac:dyDescent="0.25">
      <c r="A10" s="1"/>
      <c r="B10" s="118" t="s">
        <v>237</v>
      </c>
      <c r="C10" s="119"/>
      <c r="D10" s="120"/>
      <c r="E10" s="9">
        <v>892346.44244518876</v>
      </c>
      <c r="F10" s="14" t="s">
        <v>3</v>
      </c>
      <c r="G10" s="1"/>
    </row>
    <row r="11" spans="1:7" x14ac:dyDescent="0.25">
      <c r="A11" s="1"/>
      <c r="B11" s="118" t="s">
        <v>238</v>
      </c>
      <c r="C11" s="119"/>
      <c r="D11" s="120"/>
      <c r="E11" s="9">
        <v>-711524.08506606147</v>
      </c>
      <c r="F11" s="14" t="s">
        <v>3</v>
      </c>
      <c r="G11" s="1"/>
    </row>
    <row r="12" spans="1:7" x14ac:dyDescent="0.25">
      <c r="A12" s="1"/>
      <c r="B12" s="118" t="s">
        <v>239</v>
      </c>
      <c r="C12" s="119"/>
      <c r="D12" s="120"/>
      <c r="E12" s="9">
        <v>-543645.21363714337</v>
      </c>
      <c r="F12" s="14" t="s">
        <v>3</v>
      </c>
      <c r="G12" s="1"/>
    </row>
    <row r="13" spans="1:7" x14ac:dyDescent="0.25">
      <c r="A13" s="1"/>
      <c r="B13" s="61"/>
      <c r="C13" s="62"/>
      <c r="D13" s="62"/>
      <c r="E13" s="62"/>
      <c r="F13" s="20"/>
      <c r="G13" s="1"/>
    </row>
    <row r="14" spans="1:7" ht="54.75" customHeight="1" x14ac:dyDescent="0.25">
      <c r="A14" s="1"/>
      <c r="B14" s="104" t="s">
        <v>240</v>
      </c>
      <c r="C14" s="105"/>
      <c r="D14" s="105"/>
      <c r="E14" s="105"/>
      <c r="F14" s="106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241</v>
      </c>
      <c r="C16" s="116"/>
      <c r="D16" s="116"/>
      <c r="E16" s="116"/>
      <c r="F16" s="117"/>
      <c r="G16" s="1"/>
    </row>
    <row r="17" spans="1:10" x14ac:dyDescent="0.25">
      <c r="A17" s="1"/>
      <c r="B17" s="118" t="s">
        <v>242</v>
      </c>
      <c r="C17" s="119"/>
      <c r="D17" s="120"/>
      <c r="E17" s="9">
        <v>-376958.56428554095</v>
      </c>
      <c r="F17" s="14" t="s">
        <v>3</v>
      </c>
      <c r="G17" s="1"/>
      <c r="H17" s="47"/>
    </row>
    <row r="18" spans="1:10" x14ac:dyDescent="0.25">
      <c r="A18" s="1"/>
      <c r="B18" s="118" t="s">
        <v>243</v>
      </c>
      <c r="C18" s="119"/>
      <c r="D18" s="120"/>
      <c r="E18" s="9">
        <v>-376958.56428554095</v>
      </c>
      <c r="F18" s="14" t="s">
        <v>3</v>
      </c>
      <c r="G18" s="1"/>
      <c r="H18" s="48"/>
    </row>
    <row r="19" spans="1:10" x14ac:dyDescent="0.25">
      <c r="A19" s="1"/>
      <c r="B19" s="61"/>
      <c r="C19" s="62"/>
      <c r="D19" s="62"/>
      <c r="E19" s="62"/>
      <c r="F19" s="20"/>
      <c r="G19" s="1"/>
    </row>
    <row r="20" spans="1:10" ht="30" customHeight="1" x14ac:dyDescent="0.25">
      <c r="A20" s="1"/>
      <c r="B20" s="104" t="s">
        <v>244</v>
      </c>
      <c r="C20" s="105"/>
      <c r="D20" s="105"/>
      <c r="E20" s="105"/>
      <c r="F20" s="106"/>
      <c r="G20" s="1"/>
    </row>
    <row r="21" spans="1:10" ht="28.5" customHeight="1" x14ac:dyDescent="0.25">
      <c r="A21" s="1"/>
      <c r="B21" s="1"/>
      <c r="C21" s="1"/>
      <c r="D21" s="1"/>
      <c r="E21" s="1"/>
      <c r="F21" s="1"/>
      <c r="G21" s="1"/>
    </row>
    <row r="22" spans="1:10" x14ac:dyDescent="0.25">
      <c r="A22" s="1"/>
      <c r="B22" s="63" t="s">
        <v>206</v>
      </c>
      <c r="C22" s="64"/>
      <c r="D22" s="64"/>
      <c r="E22" s="64"/>
      <c r="F22" s="65"/>
      <c r="G22" s="1"/>
    </row>
    <row r="23" spans="1:10" x14ac:dyDescent="0.25">
      <c r="A23" s="1"/>
      <c r="B23" s="66" t="s">
        <v>207</v>
      </c>
      <c r="C23" s="67"/>
      <c r="D23" s="68"/>
      <c r="E23" s="9">
        <v>26185470.576755799</v>
      </c>
      <c r="F23" s="14" t="s">
        <v>3</v>
      </c>
      <c r="G23" s="1"/>
    </row>
    <row r="24" spans="1:10" x14ac:dyDescent="0.25">
      <c r="A24" s="1"/>
      <c r="B24" s="66" t="s">
        <v>208</v>
      </c>
      <c r="C24" s="67"/>
      <c r="D24" s="68"/>
      <c r="E24" s="9">
        <v>26109443</v>
      </c>
      <c r="F24" s="14" t="s">
        <v>3</v>
      </c>
      <c r="G24" s="1"/>
      <c r="J24" s="49"/>
    </row>
    <row r="25" spans="1:10" x14ac:dyDescent="0.25">
      <c r="A25" s="1"/>
      <c r="B25" s="66" t="s">
        <v>34</v>
      </c>
      <c r="C25" s="67"/>
      <c r="D25" s="68"/>
      <c r="E25" s="9">
        <v>0</v>
      </c>
      <c r="F25" s="14" t="s">
        <v>3</v>
      </c>
      <c r="G25" s="1"/>
    </row>
    <row r="26" spans="1:10" x14ac:dyDescent="0.25">
      <c r="A26" s="1"/>
      <c r="B26" s="70" t="s">
        <v>251</v>
      </c>
      <c r="C26" s="71"/>
      <c r="D26" s="72"/>
      <c r="E26" s="45">
        <f>E23-(E24-E25)</f>
        <v>76027.576755799353</v>
      </c>
      <c r="F26" s="17" t="s">
        <v>3</v>
      </c>
      <c r="G26" s="1"/>
    </row>
    <row r="27" spans="1:10" x14ac:dyDescent="0.25">
      <c r="A27" s="1"/>
      <c r="B27" s="61"/>
      <c r="C27" s="62"/>
      <c r="D27" s="62"/>
      <c r="E27" s="62"/>
      <c r="F27" s="20"/>
      <c r="G27" s="1"/>
    </row>
    <row r="28" spans="1:10" x14ac:dyDescent="0.25">
      <c r="A28" s="1"/>
      <c r="B28" s="1"/>
      <c r="C28" s="1"/>
      <c r="D28" s="1"/>
      <c r="E28" s="1"/>
      <c r="F28" s="1"/>
      <c r="G28" s="1"/>
    </row>
    <row r="29" spans="1:10" x14ac:dyDescent="0.25">
      <c r="A29" s="1"/>
      <c r="B29" s="115" t="s">
        <v>245</v>
      </c>
      <c r="C29" s="116"/>
      <c r="D29" s="116"/>
      <c r="E29" s="116"/>
      <c r="F29" s="117"/>
      <c r="G29" s="1"/>
      <c r="H29" s="49"/>
    </row>
    <row r="30" spans="1:10" x14ac:dyDescent="0.25">
      <c r="A30" s="1"/>
      <c r="B30" s="139" t="s">
        <v>246</v>
      </c>
      <c r="C30" s="140"/>
      <c r="D30" s="141"/>
      <c r="E30" s="46">
        <f>E12/2+(E12/2-E17)+E26</f>
        <v>-90659.072595803067</v>
      </c>
      <c r="F30" s="17" t="s">
        <v>3</v>
      </c>
      <c r="G30" s="1"/>
      <c r="H30" s="47"/>
      <c r="I30" s="48"/>
    </row>
    <row r="31" spans="1:10" x14ac:dyDescent="0.25">
      <c r="A31" s="1"/>
      <c r="B31" s="115"/>
      <c r="C31" s="116"/>
      <c r="D31" s="116"/>
      <c r="E31" s="116"/>
      <c r="F31" s="117"/>
      <c r="G31" s="1"/>
    </row>
    <row r="32" spans="1:10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247</v>
      </c>
      <c r="C33" s="116"/>
      <c r="D33" s="116"/>
      <c r="E33" s="116"/>
      <c r="F33" s="117"/>
      <c r="G33" s="1"/>
    </row>
    <row r="34" spans="1:7" x14ac:dyDescent="0.25">
      <c r="A34" s="1"/>
      <c r="B34" s="133" t="s">
        <v>252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42" t="s">
        <v>160</v>
      </c>
      <c r="C37" s="142"/>
      <c r="D37" s="142"/>
      <c r="E37" s="10">
        <f>E35/E36</f>
        <v>0</v>
      </c>
      <c r="F37" s="17" t="s">
        <v>3</v>
      </c>
      <c r="G37" s="1"/>
    </row>
    <row r="38" spans="1:7" x14ac:dyDescent="0.25">
      <c r="A38" s="1"/>
      <c r="B38" s="136"/>
      <c r="C38" s="137"/>
      <c r="D38" s="137"/>
      <c r="E38" s="137"/>
      <c r="F38" s="138"/>
      <c r="G38" s="1"/>
    </row>
    <row r="39" spans="1:7" ht="75" customHeight="1" x14ac:dyDescent="0.25">
      <c r="A39" s="1"/>
      <c r="B39" s="104" t="s">
        <v>250</v>
      </c>
      <c r="C39" s="105"/>
      <c r="D39" s="105"/>
      <c r="E39" s="105"/>
      <c r="F39" s="106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6nUvZ52ABvY8ppXCgEUUYzSe4peMKOXUfkSCNkxsnH7Uh4AJO7SR/dNjcr/6qtOaLpT6yfLLZUT6d3NidOjLQ==" saltValue="LlTfhD2BYvjb8oRhBS1MzQ==" spinCount="100000" sheet="1" objects="1" scenarios="1"/>
  <mergeCells count="21"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169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5"/>
      <c r="I9" s="1"/>
    </row>
    <row r="10" spans="1:9" x14ac:dyDescent="0.25">
      <c r="A10" s="1"/>
      <c r="B10" s="50" t="s">
        <v>253</v>
      </c>
      <c r="C10" s="51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pYmXJYp6Jhw7oN9DJDRap2ImnQdb67U9nfnAq+LveHXa6zeaIKwRLv5RbpHDP+FnBGbGPKMpeST1EmsO4A68Q==" saltValue="WTG/DZkmEJ1IDo79ryg7N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1" t="s">
        <v>84</v>
      </c>
      <c r="C8" s="62"/>
      <c r="D8" s="62"/>
      <c r="E8" s="62"/>
      <c r="F8" s="20"/>
      <c r="G8" s="1"/>
    </row>
    <row r="9" spans="1:7" ht="17.25" customHeight="1" x14ac:dyDescent="0.25">
      <c r="A9" s="1"/>
      <c r="B9" s="59" t="s">
        <v>16</v>
      </c>
      <c r="C9" s="59" t="s">
        <v>11</v>
      </c>
      <c r="D9" s="60"/>
      <c r="E9" s="59" t="s">
        <v>32</v>
      </c>
      <c r="F9" s="55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25" t="s">
        <v>226</v>
      </c>
      <c r="C11" s="22">
        <v>0</v>
      </c>
      <c r="D11" s="14" t="s">
        <v>3</v>
      </c>
      <c r="E11" s="9">
        <v>1115040</v>
      </c>
      <c r="F11" s="14" t="s">
        <v>3</v>
      </c>
      <c r="G11" s="1"/>
    </row>
    <row r="12" spans="1:7" x14ac:dyDescent="0.25">
      <c r="A12" s="1"/>
      <c r="B12" s="25" t="s">
        <v>229</v>
      </c>
      <c r="C12" s="22">
        <v>0</v>
      </c>
      <c r="D12" s="14" t="s">
        <v>3</v>
      </c>
      <c r="E12" s="9">
        <v>103245</v>
      </c>
      <c r="F12" s="14" t="s">
        <v>3</v>
      </c>
      <c r="G12" s="1"/>
    </row>
    <row r="13" spans="1:7" x14ac:dyDescent="0.25">
      <c r="A13" s="1"/>
      <c r="B13" s="25" t="s">
        <v>227</v>
      </c>
      <c r="C13" s="22">
        <v>0</v>
      </c>
      <c r="D13" s="14" t="s">
        <v>3</v>
      </c>
      <c r="E13" s="9">
        <v>35584</v>
      </c>
      <c r="F13" s="14" t="s">
        <v>3</v>
      </c>
      <c r="G13" s="1"/>
    </row>
    <row r="14" spans="1:7" x14ac:dyDescent="0.25">
      <c r="A14" s="1"/>
      <c r="B14" s="61" t="s">
        <v>136</v>
      </c>
      <c r="C14" s="12">
        <f>SUM(C10:C13)</f>
        <v>0</v>
      </c>
      <c r="D14" s="13" t="s">
        <v>3</v>
      </c>
      <c r="E14" s="12">
        <f>SUM(E10:E13)</f>
        <v>1253869</v>
      </c>
      <c r="F14" s="13" t="s">
        <v>3</v>
      </c>
      <c r="G14" s="1"/>
    </row>
    <row r="15" spans="1:7" x14ac:dyDescent="0.25">
      <c r="A15" s="1"/>
      <c r="B15" s="61" t="s">
        <v>209</v>
      </c>
      <c r="C15" s="12">
        <f>C14*(1+'Fane 12. Nøgletal'!C14)</f>
        <v>0</v>
      </c>
      <c r="D15" s="13" t="s">
        <v>3</v>
      </c>
      <c r="E15" s="12">
        <f>E14*(1+'Fane 12. Nøgletal'!C14)</f>
        <v>1258006.7677000002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45lHaIP0Waj58T28N9lfgVfqZs5qtAqkZ5GKMzrRPXEN9sT9H21Qo7iPZcc/PgAH8wuRv2Mp2WA9QmKHLWryvg==" saltValue="mmoYtgW9h5QBiA9aoGbE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9" t="s">
        <v>16</v>
      </c>
      <c r="C9" s="59" t="s">
        <v>11</v>
      </c>
      <c r="D9" s="60"/>
      <c r="E9" s="59" t="s">
        <v>32</v>
      </c>
      <c r="F9" s="55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1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6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9" t="s">
        <v>16</v>
      </c>
      <c r="C17" s="59" t="s">
        <v>11</v>
      </c>
      <c r="D17" s="60"/>
      <c r="E17" s="59" t="s">
        <v>32</v>
      </c>
      <c r="F17" s="55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61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6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9" t="s">
        <v>16</v>
      </c>
      <c r="C25" s="59" t="s">
        <v>11</v>
      </c>
      <c r="D25" s="60"/>
      <c r="E25" s="59" t="s">
        <v>32</v>
      </c>
      <c r="F25" s="55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61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6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9" t="s">
        <v>16</v>
      </c>
      <c r="C33" s="59" t="s">
        <v>11</v>
      </c>
      <c r="D33" s="60"/>
      <c r="E33" s="59" t="s">
        <v>32</v>
      </c>
      <c r="F33" s="55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61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61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i1ETaWyLhpyhSFkCnAkkRYsKKNoqF8JWtk2D6TvdxW/gFuJqZ1G+EcqJykq1oLGaMstQg2HXWe4jNj4ihU/nQ==" saltValue="vSdAVUT3OCXiFng0NCYk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166</v>
      </c>
      <c r="C3" s="100"/>
      <c r="D3" s="100"/>
      <c r="E3" s="100"/>
      <c r="F3" s="100"/>
      <c r="G3" s="1"/>
    </row>
    <row r="4" spans="1:7" ht="25.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4" t="s">
        <v>131</v>
      </c>
      <c r="C9" s="110" t="s">
        <v>11</v>
      </c>
      <c r="D9" s="112"/>
      <c r="E9" s="110" t="s">
        <v>32</v>
      </c>
      <c r="F9" s="11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Zi6V69Qz8CM/bj+yje3BCHcVEI7CqtizT/bT2K9XjpNxLikLr6Pfea+vpmSz86zusrfh9IWqllav44Kuq4xzw==" saltValue="c6LANMFDhg5gw92bNx6Bp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165</v>
      </c>
      <c r="C3" s="100"/>
      <c r="D3" s="100"/>
      <c r="E3" s="100"/>
      <c r="F3" s="100"/>
      <c r="G3" s="1"/>
    </row>
    <row r="4" spans="1:7" ht="25.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32</v>
      </c>
      <c r="F9" s="55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6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6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4" t="s">
        <v>17</v>
      </c>
      <c r="C16" s="54" t="s">
        <v>11</v>
      </c>
      <c r="D16" s="55"/>
      <c r="E16" s="54" t="s">
        <v>32</v>
      </c>
      <c r="F16" s="55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6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6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4" t="s">
        <v>17</v>
      </c>
      <c r="C23" s="54" t="s">
        <v>11</v>
      </c>
      <c r="D23" s="55"/>
      <c r="E23" s="54" t="s">
        <v>32</v>
      </c>
      <c r="F23" s="55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6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6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54" t="s">
        <v>17</v>
      </c>
      <c r="C30" s="54" t="s">
        <v>11</v>
      </c>
      <c r="D30" s="55"/>
      <c r="E30" s="54" t="s">
        <v>32</v>
      </c>
      <c r="F30" s="55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6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61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XYDx+w3YJklCkx+CNw+qwrZQFSF5AmeAM+c6NPQIMKcTBJD5bN/jbGSqRmhIdZ5qNNNGt4PHWKbM96+gLY12g==" saltValue="BYAF5CMW6Wtv+knN/qdJi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0" t="s">
        <v>164</v>
      </c>
      <c r="C3" s="100"/>
      <c r="D3" s="1"/>
    </row>
    <row r="4" spans="1:4" ht="25.5" customHeight="1" x14ac:dyDescent="0.25">
      <c r="A4" s="1"/>
      <c r="B4" s="100"/>
      <c r="C4" s="10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61" t="s">
        <v>14</v>
      </c>
      <c r="C8" s="20"/>
      <c r="D8" s="1"/>
    </row>
    <row r="9" spans="1:4" x14ac:dyDescent="0.25">
      <c r="A9" s="1"/>
      <c r="B9" s="69" t="s">
        <v>118</v>
      </c>
      <c r="C9" s="26">
        <v>1.2699999999999999E-2</v>
      </c>
      <c r="D9" s="1"/>
    </row>
    <row r="10" spans="1:4" x14ac:dyDescent="0.25">
      <c r="A10" s="1"/>
      <c r="B10" s="69" t="s">
        <v>22</v>
      </c>
      <c r="C10" s="26">
        <v>1.7500000000000002E-2</v>
      </c>
      <c r="D10" s="1"/>
    </row>
    <row r="11" spans="1:4" x14ac:dyDescent="0.25">
      <c r="A11" s="1"/>
      <c r="B11" s="69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52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61" t="s">
        <v>106</v>
      </c>
      <c r="C18" s="20"/>
      <c r="D18" s="1"/>
    </row>
    <row r="19" spans="1:4" x14ac:dyDescent="0.25">
      <c r="A19" s="1"/>
      <c r="B19" s="69" t="s">
        <v>120</v>
      </c>
      <c r="C19" s="23">
        <v>9.1000000000000004E-3</v>
      </c>
      <c r="D19" s="1"/>
    </row>
    <row r="20" spans="1:4" x14ac:dyDescent="0.25">
      <c r="A20" s="1"/>
      <c r="B20" s="69" t="s">
        <v>121</v>
      </c>
      <c r="C20" s="23">
        <v>1.77E-2</v>
      </c>
      <c r="D20" s="1"/>
    </row>
    <row r="21" spans="1:4" x14ac:dyDescent="0.25">
      <c r="A21" s="1"/>
      <c r="B21" s="69" t="s">
        <v>122</v>
      </c>
      <c r="C21" s="23">
        <v>8.6999999999999994E-3</v>
      </c>
      <c r="D21" s="1"/>
    </row>
    <row r="22" spans="1:4" x14ac:dyDescent="0.25">
      <c r="A22" s="1"/>
      <c r="B22" s="69" t="s">
        <v>123</v>
      </c>
      <c r="C22" s="35">
        <v>2.8400000000000002E-2</v>
      </c>
      <c r="D22" s="1"/>
    </row>
    <row r="23" spans="1:4" x14ac:dyDescent="0.25">
      <c r="A23" s="1"/>
      <c r="B23" s="69" t="s">
        <v>146</v>
      </c>
      <c r="C23" s="35">
        <v>2.75E-2</v>
      </c>
      <c r="D23" s="1"/>
    </row>
    <row r="24" spans="1:4" x14ac:dyDescent="0.25">
      <c r="A24" s="1"/>
      <c r="B24" s="69" t="s">
        <v>217</v>
      </c>
      <c r="C24" s="35">
        <v>1.4800000000000001E-2</v>
      </c>
      <c r="D24" s="1"/>
    </row>
    <row r="25" spans="1:4" x14ac:dyDescent="0.25">
      <c r="A25" s="1"/>
      <c r="B25" s="6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61" t="s">
        <v>107</v>
      </c>
      <c r="C28" s="20"/>
      <c r="D28" s="1"/>
    </row>
    <row r="29" spans="1:4" x14ac:dyDescent="0.25">
      <c r="A29" s="1"/>
      <c r="B29" s="69" t="s">
        <v>124</v>
      </c>
      <c r="C29" s="26">
        <v>0.02</v>
      </c>
      <c r="D29" s="1"/>
    </row>
    <row r="30" spans="1:4" x14ac:dyDescent="0.25">
      <c r="A30" s="1"/>
      <c r="B30" s="6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ySoCj2nx8H4okZUGNSh9Ucv3O3ZsEXzyYhTgE3e6jofH+wRvyrUTx5IrvNkz95r5em0aJb549qLiy5BqArSOlA==" saltValue="48jK+rXl354b92RR7Z3ND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183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1" t="s">
        <v>13</v>
      </c>
      <c r="C8" s="62"/>
      <c r="D8" s="20"/>
      <c r="E8" s="1"/>
    </row>
    <row r="9" spans="1:5" x14ac:dyDescent="0.25">
      <c r="A9" s="1"/>
      <c r="B9" s="57" t="s">
        <v>24</v>
      </c>
      <c r="C9" s="7">
        <f>'Fane 3. Omkostninger i ØR2021'!E20</f>
        <v>18054134.157134619</v>
      </c>
      <c r="D9" s="8" t="s">
        <v>3</v>
      </c>
      <c r="E9" s="1"/>
    </row>
    <row r="10" spans="1:5" x14ac:dyDescent="0.25">
      <c r="A10" s="1"/>
      <c r="B10" s="53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53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100296.35169702751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tillæg'!C15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tillæg'!E15</f>
        <v>1258006.7677000002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224411.85905045236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-390731.05567770149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-178725.73226567492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-326590.15726106946</v>
      </c>
      <c r="D21" s="8" t="s">
        <v>3</v>
      </c>
      <c r="E21" s="1"/>
    </row>
    <row r="22" spans="1:5" ht="17.100000000000001" customHeight="1" x14ac:dyDescent="0.25">
      <c r="A22" s="1"/>
      <c r="B22" s="70" t="s">
        <v>20</v>
      </c>
      <c r="C22" s="10">
        <f>SUM(C9,C12:C21)</f>
        <v>18640505.838680629</v>
      </c>
      <c r="D22" s="11" t="s">
        <v>3</v>
      </c>
      <c r="E22" s="1"/>
    </row>
    <row r="23" spans="1:5" ht="15" customHeight="1" x14ac:dyDescent="0.25">
      <c r="A23" s="1"/>
      <c r="B23" s="61" t="s">
        <v>12</v>
      </c>
      <c r="C23" s="62"/>
      <c r="D23" s="20"/>
      <c r="E23" s="1"/>
    </row>
    <row r="24" spans="1:5" ht="15" customHeight="1" x14ac:dyDescent="0.25">
      <c r="A24" s="1"/>
      <c r="B24" s="54" t="s">
        <v>12</v>
      </c>
      <c r="C24" s="10">
        <f>'Fane 6. Ikke-påvirkelige omk.'!C14</f>
        <v>7162508.5828574114</v>
      </c>
      <c r="D24" s="11" t="s">
        <v>3</v>
      </c>
      <c r="E24" s="1"/>
    </row>
    <row r="25" spans="1:5" ht="15" customHeight="1" x14ac:dyDescent="0.25">
      <c r="A25" s="1"/>
      <c r="B25" s="61" t="s">
        <v>89</v>
      </c>
      <c r="C25" s="6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70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2"/>
      <c r="D29" s="20"/>
      <c r="E29" s="1"/>
    </row>
    <row r="30" spans="1:5" x14ac:dyDescent="0.25">
      <c r="A30" s="1"/>
      <c r="B30" s="73" t="s">
        <v>162</v>
      </c>
      <c r="C30" s="10">
        <f>'Fane 7. Kontrol af ØR2020'!E30</f>
        <v>-90659.072595803067</v>
      </c>
      <c r="D30" s="11" t="s">
        <v>3</v>
      </c>
      <c r="E30" s="1"/>
    </row>
    <row r="31" spans="1:5" x14ac:dyDescent="0.25">
      <c r="A31" s="1"/>
      <c r="B31" s="36" t="s">
        <v>224</v>
      </c>
      <c r="C31" s="62"/>
      <c r="D31" s="20"/>
      <c r="E31" s="1"/>
    </row>
    <row r="32" spans="1:5" x14ac:dyDescent="0.25">
      <c r="A32" s="1"/>
      <c r="B32" s="73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61" t="s">
        <v>30</v>
      </c>
      <c r="C33" s="31">
        <f>SUM(C22,C24,C28,C30,C32)</f>
        <v>25712355.348942235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TAsnUtRyzaJGmKg5xWIziqk6M7Q056iPDHme4ANlMbsBnwcYMzh9j81I+aN+DU/Jk2d9LhrDHn9ZVk7doQk/Fw==" saltValue="ahSTdQ2UroftQvb0plQNk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184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61" t="s">
        <v>13</v>
      </c>
      <c r="C8" s="62"/>
      <c r="D8" s="20"/>
      <c r="E8" s="1"/>
    </row>
    <row r="9" spans="1:5" ht="15" customHeight="1" x14ac:dyDescent="0.25">
      <c r="A9" s="1"/>
      <c r="B9" s="57" t="s">
        <v>134</v>
      </c>
      <c r="C9" s="7">
        <f>'Fane 2.1. Økonomisk ramme 2022'!C22</f>
        <v>18640505.838680629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3" t="s">
        <v>18</v>
      </c>
      <c r="C12" s="9">
        <f>SUM(C9:C11)*'Fane 12. Nøgletal'!C14</f>
        <v>61513.669267646073</v>
      </c>
      <c r="D12" s="8" t="s">
        <v>3</v>
      </c>
      <c r="E12" s="1"/>
    </row>
    <row r="13" spans="1:5" ht="15" customHeight="1" x14ac:dyDescent="0.25">
      <c r="A13" s="1"/>
      <c r="B13" s="53" t="s">
        <v>9</v>
      </c>
      <c r="C13" s="9">
        <f>-SUM(C9:C12)*'Fane 5. Individuelt eff. krav'!G10</f>
        <v>-374040.39015896554</v>
      </c>
      <c r="D13" s="8" t="s">
        <v>3</v>
      </c>
      <c r="E13" s="1"/>
    </row>
    <row r="14" spans="1:5" ht="15" customHeight="1" x14ac:dyDescent="0.25">
      <c r="A14" s="1"/>
      <c r="B14" s="53" t="s">
        <v>25</v>
      </c>
      <c r="C14" s="9">
        <f>-'Fane 4.1. Gen. krav - drift'!G44</f>
        <v>-175729.21663850863</v>
      </c>
      <c r="D14" s="8" t="s">
        <v>3</v>
      </c>
      <c r="E14" s="1"/>
    </row>
    <row r="15" spans="1:5" ht="15" customHeight="1" x14ac:dyDescent="0.25">
      <c r="A15" s="1"/>
      <c r="B15" s="53" t="s">
        <v>26</v>
      </c>
      <c r="C15" s="9">
        <f>-'Fane 4.2. Gen. krav - anlæg'!G44</f>
        <v>-180150.62848123207</v>
      </c>
      <c r="D15" s="8" t="s">
        <v>3</v>
      </c>
      <c r="E15" s="1"/>
    </row>
    <row r="16" spans="1:5" ht="15" customHeight="1" x14ac:dyDescent="0.25">
      <c r="A16" s="1"/>
      <c r="B16" s="58" t="s">
        <v>20</v>
      </c>
      <c r="C16" s="10">
        <f>SUM(C9:C15)</f>
        <v>17972099.272669569</v>
      </c>
      <c r="D16" s="11" t="s">
        <v>3</v>
      </c>
      <c r="E16" s="1"/>
    </row>
    <row r="17" spans="1:5" x14ac:dyDescent="0.25">
      <c r="A17" s="1"/>
      <c r="B17" s="61" t="s">
        <v>12</v>
      </c>
      <c r="C17" s="62"/>
      <c r="D17" s="20"/>
      <c r="E17" s="1"/>
    </row>
    <row r="18" spans="1:5" ht="15" customHeight="1" x14ac:dyDescent="0.25">
      <c r="A18" s="1"/>
      <c r="B18" s="54" t="s">
        <v>12</v>
      </c>
      <c r="C18" s="10">
        <f>'Fane 6. Ikke-påvirkelige omk.'!C14*(1+'Fane 12. Nøgletal'!C14)</f>
        <v>7186144.861180841</v>
      </c>
      <c r="D18" s="11" t="s">
        <v>3</v>
      </c>
      <c r="E18" s="1"/>
    </row>
    <row r="19" spans="1:5" ht="15" customHeight="1" x14ac:dyDescent="0.25">
      <c r="A19" s="1"/>
      <c r="B19" s="61" t="s">
        <v>89</v>
      </c>
      <c r="C19" s="6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70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2"/>
      <c r="D23" s="20"/>
      <c r="E23" s="1"/>
    </row>
    <row r="24" spans="1:5" ht="15" customHeight="1" x14ac:dyDescent="0.25">
      <c r="A24" s="1"/>
      <c r="B24" s="73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62"/>
      <c r="D25" s="20"/>
      <c r="E25" s="1"/>
    </row>
    <row r="26" spans="1:5" x14ac:dyDescent="0.25">
      <c r="A26" s="1"/>
      <c r="B26" s="73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61" t="s">
        <v>97</v>
      </c>
      <c r="C27" s="12">
        <f>SUM(C16,C18,C22,C24,C26)</f>
        <v>25158244.133850411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hwNE00yqlijiyfNJPzGG+9CLKvwT10DYcW3PFNSmV9Bdlo3W5GKJF/JYPaOZ59AxTG0pR2A6Qsrz11Qao0zEQ==" saltValue="FzVaUl21Pdv75SrWN6xT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185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1" t="s">
        <v>13</v>
      </c>
      <c r="C7" s="62"/>
      <c r="D7" s="20"/>
      <c r="E7" s="1"/>
    </row>
    <row r="8" spans="1:5" ht="15" customHeight="1" x14ac:dyDescent="0.25">
      <c r="A8" s="1"/>
      <c r="B8" s="57" t="s">
        <v>135</v>
      </c>
      <c r="C8" s="7">
        <f>'Fane 2.2. Økonomisk ramme 2023'!C16</f>
        <v>17972099.272669569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3" t="s">
        <v>18</v>
      </c>
      <c r="C11" s="9">
        <f>SUM(C8:C10)*'Fane 12. Nøgletal'!C14</f>
        <v>59307.927599809576</v>
      </c>
      <c r="D11" s="8" t="s">
        <v>3</v>
      </c>
      <c r="E11" s="1"/>
    </row>
    <row r="12" spans="1:5" ht="15" customHeight="1" x14ac:dyDescent="0.25">
      <c r="A12" s="1"/>
      <c r="B12" s="53" t="s">
        <v>9</v>
      </c>
      <c r="C12" s="9">
        <f>-SUM(C8:C11)*'Fane 5. Individuelt eff. krav'!G10</f>
        <v>-360628.14400538756</v>
      </c>
      <c r="D12" s="8" t="s">
        <v>3</v>
      </c>
      <c r="E12" s="1"/>
    </row>
    <row r="13" spans="1:5" ht="15" customHeight="1" x14ac:dyDescent="0.25">
      <c r="A13" s="1"/>
      <c r="B13" s="53" t="s">
        <v>25</v>
      </c>
      <c r="C13" s="9">
        <f>-'Fane 4.1. Gen. krav - drift'!G50</f>
        <v>-172782.94059234738</v>
      </c>
      <c r="D13" s="8" t="s">
        <v>3</v>
      </c>
      <c r="E13" s="1"/>
    </row>
    <row r="14" spans="1:5" ht="15" customHeight="1" x14ac:dyDescent="0.25">
      <c r="A14" s="1"/>
      <c r="B14" s="53" t="s">
        <v>26</v>
      </c>
      <c r="C14" s="43">
        <f>-'Fane 4.2. Gen. krav - anlæg'!G50</f>
        <v>-178070.0976970029</v>
      </c>
      <c r="D14" s="8" t="s">
        <v>3</v>
      </c>
      <c r="E14" s="1"/>
    </row>
    <row r="15" spans="1:5" x14ac:dyDescent="0.25">
      <c r="A15" s="1"/>
      <c r="B15" s="58" t="s">
        <v>20</v>
      </c>
      <c r="C15" s="10">
        <f>SUM(C8:C14)</f>
        <v>17319926.017974637</v>
      </c>
      <c r="D15" s="11" t="s">
        <v>3</v>
      </c>
      <c r="E15" s="1"/>
    </row>
    <row r="16" spans="1:5" x14ac:dyDescent="0.25">
      <c r="A16" s="1"/>
      <c r="B16" s="61" t="s">
        <v>12</v>
      </c>
      <c r="C16" s="62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omk.'!C14*(1+'Fane 12. Nøgletal'!C14)^2</f>
        <v>7209859.1392227383</v>
      </c>
      <c r="D17" s="11" t="s">
        <v>3</v>
      </c>
      <c r="E17" s="1"/>
    </row>
    <row r="18" spans="1:5" ht="15" customHeight="1" x14ac:dyDescent="0.25">
      <c r="A18" s="1"/>
      <c r="B18" s="61" t="s">
        <v>89</v>
      </c>
      <c r="C18" s="6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70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1" t="s">
        <v>161</v>
      </c>
      <c r="C22" s="62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62"/>
      <c r="D24" s="20"/>
      <c r="E24" s="1"/>
    </row>
    <row r="25" spans="1:5" ht="15" customHeight="1" x14ac:dyDescent="0.25">
      <c r="A25" s="1"/>
      <c r="B25" s="73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61" t="s">
        <v>186</v>
      </c>
      <c r="C26" s="12">
        <f>SUM(C15,C17,C21,C23,C25)</f>
        <v>24529785.157197375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nF+gHE6EKN+iMOKbKrBGigEoLir9XRhwcXR4nm4QQdLmtE1xtFPKx26yYOHJW6rlC+qYJoptuCppqCkN35qJQ==" saltValue="QJv7fFwxq3rADRGILwB7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2" t="s">
        <v>187</v>
      </c>
      <c r="C3" s="92"/>
      <c r="D3" s="92"/>
      <c r="E3" s="1"/>
    </row>
    <row r="4" spans="1:5" ht="15" customHeight="1" x14ac:dyDescent="0.25">
      <c r="A4" s="1"/>
      <c r="B4" s="92"/>
      <c r="C4" s="92"/>
      <c r="D4" s="92"/>
      <c r="E4" s="1"/>
    </row>
    <row r="5" spans="1:5" x14ac:dyDescent="0.25">
      <c r="A5" s="1"/>
      <c r="B5" s="93" t="s">
        <v>21</v>
      </c>
      <c r="C5" s="93"/>
      <c r="D5" s="9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61" t="s">
        <v>13</v>
      </c>
      <c r="C7" s="62"/>
      <c r="D7" s="20"/>
      <c r="E7" s="1"/>
    </row>
    <row r="8" spans="1:5" ht="15" customHeight="1" x14ac:dyDescent="0.25">
      <c r="A8" s="1"/>
      <c r="B8" s="57" t="s">
        <v>188</v>
      </c>
      <c r="C8" s="7">
        <f>'Fane 2.3. Økonomisk ramme 2024'!C15</f>
        <v>17319926.017974637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3" t="s">
        <v>18</v>
      </c>
      <c r="C11" s="9">
        <f>SUM(C8:C10)*'Fane 12. Nøgletal'!C14</f>
        <v>57155.755859316305</v>
      </c>
      <c r="D11" s="8" t="s">
        <v>3</v>
      </c>
      <c r="E11" s="1"/>
    </row>
    <row r="12" spans="1:5" ht="15" customHeight="1" x14ac:dyDescent="0.25">
      <c r="A12" s="1"/>
      <c r="B12" s="53" t="s">
        <v>9</v>
      </c>
      <c r="C12" s="9">
        <f>-SUM(C8:C11)*'Fane 5. Individuelt eff. krav'!G10</f>
        <v>-347541.63547667908</v>
      </c>
      <c r="D12" s="8" t="s">
        <v>3</v>
      </c>
      <c r="E12" s="1"/>
    </row>
    <row r="13" spans="1:5" ht="15" customHeight="1" x14ac:dyDescent="0.25">
      <c r="A13" s="1"/>
      <c r="B13" s="53" t="s">
        <v>25</v>
      </c>
      <c r="C13" s="9">
        <f>-'Fane 4.1. Gen. krav - drift'!G56</f>
        <v>-169886.06181037612</v>
      </c>
      <c r="D13" s="8" t="s">
        <v>3</v>
      </c>
      <c r="E13" s="1"/>
    </row>
    <row r="14" spans="1:5" ht="15" customHeight="1" x14ac:dyDescent="0.25">
      <c r="A14" s="1"/>
      <c r="B14" s="53" t="s">
        <v>26</v>
      </c>
      <c r="C14" s="9">
        <f>-'Fane 4.2. Gen. krav - anlæg'!G56</f>
        <v>-176013.59462991587</v>
      </c>
      <c r="D14" s="8" t="s">
        <v>3</v>
      </c>
      <c r="E14" s="1"/>
    </row>
    <row r="15" spans="1:5" x14ac:dyDescent="0.25">
      <c r="A15" s="1"/>
      <c r="B15" s="58" t="s">
        <v>20</v>
      </c>
      <c r="C15" s="10">
        <f>SUM(C8:C14)</f>
        <v>16683640.481916985</v>
      </c>
      <c r="D15" s="11" t="s">
        <v>3</v>
      </c>
      <c r="E15" s="1"/>
    </row>
    <row r="16" spans="1:5" x14ac:dyDescent="0.25">
      <c r="A16" s="1"/>
      <c r="B16" s="61" t="s">
        <v>12</v>
      </c>
      <c r="C16" s="62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omk.'!C14*(1+'Fane 12. Nøgletal'!C14)^3</f>
        <v>7233651.6743821744</v>
      </c>
      <c r="D17" s="11" t="s">
        <v>3</v>
      </c>
      <c r="E17" s="1"/>
    </row>
    <row r="18" spans="1:5" ht="15" customHeight="1" x14ac:dyDescent="0.25">
      <c r="A18" s="1"/>
      <c r="B18" s="61" t="s">
        <v>89</v>
      </c>
      <c r="C18" s="6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70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61" t="s">
        <v>161</v>
      </c>
      <c r="C22" s="62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62"/>
      <c r="D24" s="20"/>
      <c r="E24" s="1"/>
    </row>
    <row r="25" spans="1:5" x14ac:dyDescent="0.25">
      <c r="A25" s="1"/>
      <c r="B25" s="73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61" t="s">
        <v>189</v>
      </c>
      <c r="C26" s="12">
        <f>SUM(C15,C17,C21,C23,C25)</f>
        <v>23917292.156299159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0PtLnawiZFxHkxoV/wpJY2fKjFDHQyCMM3oVMtUIqP7EODyidIvfHdH+HhpND5DXPIrIBrtZANRYnW8ZNYLAA==" saltValue="ZK7Brjl9F1/aiSIyYF2T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0" t="s">
        <v>190</v>
      </c>
      <c r="C3" s="100"/>
      <c r="D3" s="100"/>
      <c r="E3" s="100"/>
      <c r="F3" s="100"/>
      <c r="G3" s="1"/>
    </row>
    <row r="4" spans="1:7" ht="29.25" customHeight="1" x14ac:dyDescent="0.25">
      <c r="A4" s="1"/>
      <c r="B4" s="100"/>
      <c r="C4" s="100"/>
      <c r="D4" s="100"/>
      <c r="E4" s="100"/>
      <c r="F4" s="10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61" t="s">
        <v>223</v>
      </c>
      <c r="C8" s="62"/>
      <c r="D8" s="62"/>
      <c r="E8" s="62"/>
      <c r="F8" s="20"/>
      <c r="G8" s="1"/>
    </row>
    <row r="9" spans="1:7" x14ac:dyDescent="0.25">
      <c r="A9" s="1"/>
      <c r="B9" s="101" t="s">
        <v>23</v>
      </c>
      <c r="C9" s="102"/>
      <c r="D9" s="103"/>
      <c r="E9" s="7">
        <v>18593484.173729219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104028.855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228109.65895049649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-378512.45375359431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-180175.06045195038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-312801.01633955206</v>
      </c>
      <c r="F19" s="8" t="s">
        <v>3</v>
      </c>
      <c r="G19" s="1"/>
    </row>
    <row r="20" spans="1:7" x14ac:dyDescent="0.25">
      <c r="A20" s="1"/>
      <c r="B20" s="107" t="s">
        <v>20</v>
      </c>
      <c r="C20" s="108"/>
      <c r="D20" s="109"/>
      <c r="E20" s="10">
        <f>SUM(E9:E19)</f>
        <v>18054134.157134619</v>
      </c>
      <c r="F20" s="11" t="s">
        <v>3</v>
      </c>
      <c r="G20" s="1"/>
    </row>
    <row r="21" spans="1:7" x14ac:dyDescent="0.25">
      <c r="A21" s="1"/>
      <c r="B21" s="61" t="s">
        <v>12</v>
      </c>
      <c r="C21" s="62"/>
      <c r="D21" s="62"/>
      <c r="E21" s="62"/>
      <c r="F21" s="20"/>
      <c r="G21" s="1"/>
    </row>
    <row r="22" spans="1:7" x14ac:dyDescent="0.25">
      <c r="A22" s="1"/>
      <c r="B22" s="97" t="s">
        <v>12</v>
      </c>
      <c r="C22" s="98"/>
      <c r="D22" s="99"/>
      <c r="E22" s="10">
        <v>6578704.9428030001</v>
      </c>
      <c r="F22" s="11" t="s">
        <v>3</v>
      </c>
      <c r="G22" s="1"/>
    </row>
    <row r="23" spans="1:7" ht="15" customHeight="1" x14ac:dyDescent="0.25">
      <c r="A23" s="1"/>
      <c r="B23" s="113" t="s">
        <v>89</v>
      </c>
      <c r="C23" s="114"/>
      <c r="D23" s="114"/>
      <c r="E23" s="62"/>
      <c r="F23" s="62"/>
      <c r="G23" s="1"/>
    </row>
    <row r="24" spans="1:7" ht="14.25" customHeight="1" x14ac:dyDescent="0.25">
      <c r="A24" s="1"/>
      <c r="B24" s="104" t="s">
        <v>85</v>
      </c>
      <c r="C24" s="105"/>
      <c r="D24" s="106"/>
      <c r="E24" s="9">
        <v>0</v>
      </c>
      <c r="F24" s="8" t="s">
        <v>3</v>
      </c>
      <c r="G24" s="1"/>
    </row>
    <row r="25" spans="1:7" ht="14.25" customHeight="1" x14ac:dyDescent="0.25">
      <c r="A25" s="1"/>
      <c r="B25" s="104" t="s">
        <v>86</v>
      </c>
      <c r="C25" s="105"/>
      <c r="D25" s="106"/>
      <c r="E25" s="9">
        <v>0</v>
      </c>
      <c r="F25" s="8" t="s">
        <v>3</v>
      </c>
      <c r="G25" s="1"/>
    </row>
    <row r="26" spans="1:7" x14ac:dyDescent="0.25">
      <c r="A26" s="1"/>
      <c r="B26" s="110" t="s">
        <v>90</v>
      </c>
      <c r="C26" s="111"/>
      <c r="D26" s="111"/>
      <c r="E26" s="10">
        <v>0</v>
      </c>
      <c r="F26" s="11" t="s">
        <v>3</v>
      </c>
      <c r="G26" s="1"/>
    </row>
    <row r="27" spans="1:7" x14ac:dyDescent="0.25">
      <c r="A27" s="1"/>
      <c r="B27" s="61" t="s">
        <v>161</v>
      </c>
      <c r="C27" s="62"/>
      <c r="D27" s="62"/>
      <c r="E27" s="62"/>
      <c r="F27" s="20"/>
      <c r="G27" s="1"/>
    </row>
    <row r="28" spans="1:7" ht="15" customHeight="1" x14ac:dyDescent="0.25">
      <c r="A28" s="1"/>
      <c r="B28" s="110" t="s">
        <v>162</v>
      </c>
      <c r="C28" s="111"/>
      <c r="D28" s="112"/>
      <c r="E28" s="10">
        <v>-376958.56428554101</v>
      </c>
      <c r="F28" s="11" t="s">
        <v>3</v>
      </c>
      <c r="G28" s="1"/>
    </row>
    <row r="29" spans="1:7" x14ac:dyDescent="0.25">
      <c r="A29" s="1"/>
      <c r="B29" s="61" t="s">
        <v>248</v>
      </c>
      <c r="C29" s="62"/>
      <c r="D29" s="62"/>
      <c r="E29" s="62"/>
      <c r="F29" s="20"/>
      <c r="G29" s="1"/>
    </row>
    <row r="30" spans="1:7" ht="15.6" customHeight="1" x14ac:dyDescent="0.25">
      <c r="A30" s="1"/>
      <c r="B30" s="97" t="s">
        <v>249</v>
      </c>
      <c r="C30" s="98"/>
      <c r="D30" s="99"/>
      <c r="E30" s="10">
        <v>0</v>
      </c>
      <c r="F30" s="11" t="s">
        <v>3</v>
      </c>
      <c r="G30" s="1"/>
    </row>
    <row r="31" spans="1:7" x14ac:dyDescent="0.25">
      <c r="A31" s="1"/>
      <c r="B31" s="61" t="s">
        <v>29</v>
      </c>
      <c r="C31" s="62"/>
      <c r="D31" s="62"/>
      <c r="E31" s="12">
        <f>E20+E22+E26+E28+E30</f>
        <v>24255880.535652075</v>
      </c>
      <c r="F31" s="13" t="s">
        <v>3</v>
      </c>
      <c r="G31" s="1"/>
    </row>
    <row r="32" spans="1:7" ht="27.75" customHeight="1" x14ac:dyDescent="0.25">
      <c r="A32" s="1"/>
      <c r="B32" s="104" t="s">
        <v>191</v>
      </c>
      <c r="C32" s="105"/>
      <c r="D32" s="105"/>
      <c r="E32" s="105"/>
      <c r="F32" s="10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Tb4/TRGXlJRJ4oWjpJLKtkmvmwTWJwBGs1FWC351q04b4DsuVeI+Y9mNPQMI6wwQHePzN4KXokTflEw0f8cdw==" saltValue="Vxs5UCep3PR4562eIe0tj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0" t="s">
        <v>115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0"/>
      <c r="C3" s="100"/>
      <c r="D3" s="100"/>
      <c r="E3" s="100"/>
      <c r="F3" s="100"/>
      <c r="G3" s="100"/>
      <c r="H3" s="100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8" t="s">
        <v>43</v>
      </c>
      <c r="C5" s="119"/>
      <c r="D5" s="119"/>
      <c r="E5" s="119"/>
      <c r="F5" s="120"/>
      <c r="G5" s="24">
        <v>7727377.2794819884</v>
      </c>
      <c r="H5" s="14" t="s">
        <v>3</v>
      </c>
      <c r="I5" s="1"/>
    </row>
    <row r="6" spans="1:9" x14ac:dyDescent="0.25">
      <c r="A6" s="1"/>
      <c r="B6" s="118" t="s">
        <v>44</v>
      </c>
      <c r="C6" s="119"/>
      <c r="D6" s="119"/>
      <c r="E6" s="119"/>
      <c r="F6" s="120"/>
      <c r="G6" s="24">
        <f>G5*'Fane 12. Nøgletal'!C29</f>
        <v>154547.54558963978</v>
      </c>
      <c r="H6" s="14" t="s">
        <v>3</v>
      </c>
      <c r="I6" s="1"/>
    </row>
    <row r="7" spans="1:9" x14ac:dyDescent="0.25">
      <c r="A7" s="1"/>
      <c r="B7" s="61"/>
      <c r="C7" s="62"/>
      <c r="D7" s="62"/>
      <c r="E7" s="62"/>
      <c r="F7" s="62"/>
      <c r="G7" s="6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8" t="s">
        <v>45</v>
      </c>
      <c r="C10" s="119"/>
      <c r="D10" s="119"/>
      <c r="E10" s="119"/>
      <c r="F10" s="120"/>
      <c r="G10" s="24">
        <f>(G5-G6)*(1+'Fane 12. Nøgletal'!C9)</f>
        <v>7669004.6715127807</v>
      </c>
      <c r="H10" s="14" t="s">
        <v>3</v>
      </c>
      <c r="I10" s="1"/>
    </row>
    <row r="11" spans="1:9" x14ac:dyDescent="0.25">
      <c r="A11" s="1"/>
      <c r="B11" s="121" t="s">
        <v>46</v>
      </c>
      <c r="C11" s="122"/>
      <c r="D11" s="122"/>
      <c r="E11" s="122"/>
      <c r="F11" s="123"/>
      <c r="G11" s="42">
        <v>0</v>
      </c>
      <c r="H11" s="14" t="s">
        <v>3</v>
      </c>
      <c r="I11" s="1"/>
    </row>
    <row r="12" spans="1:9" x14ac:dyDescent="0.25">
      <c r="A12" s="1"/>
      <c r="B12" s="118" t="s">
        <v>47</v>
      </c>
      <c r="C12" s="119"/>
      <c r="D12" s="119"/>
      <c r="E12" s="119"/>
      <c r="F12" s="120"/>
      <c r="G12" s="24">
        <f>(G10+G11)*'Fane 12. Nøgletal'!C29</f>
        <v>153380.09343025563</v>
      </c>
      <c r="H12" s="14" t="s">
        <v>3</v>
      </c>
      <c r="I12" s="1"/>
    </row>
    <row r="13" spans="1:9" x14ac:dyDescent="0.25">
      <c r="A13" s="1"/>
      <c r="B13" s="61"/>
      <c r="C13" s="62"/>
      <c r="D13" s="62"/>
      <c r="E13" s="62"/>
      <c r="F13" s="62"/>
      <c r="G13" s="6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8" t="s">
        <v>48</v>
      </c>
      <c r="C16" s="119"/>
      <c r="D16" s="119"/>
      <c r="E16" s="119"/>
      <c r="F16" s="120"/>
      <c r="G16" s="24">
        <f>(G10+G11-G12)*(1+'Fane 12. Nøgletal'!C11)</f>
        <v>7642638.6334521193</v>
      </c>
      <c r="H16" s="14" t="s">
        <v>3</v>
      </c>
      <c r="I16" s="1"/>
    </row>
    <row r="17" spans="1:9" x14ac:dyDescent="0.25">
      <c r="A17" s="1"/>
      <c r="B17" s="118" t="s">
        <v>125</v>
      </c>
      <c r="C17" s="119"/>
      <c r="D17" s="119"/>
      <c r="E17" s="119"/>
      <c r="F17" s="120"/>
      <c r="G17" s="42">
        <v>0</v>
      </c>
      <c r="H17" s="14" t="s">
        <v>3</v>
      </c>
      <c r="I17" s="1"/>
    </row>
    <row r="18" spans="1:9" x14ac:dyDescent="0.25">
      <c r="A18" s="1"/>
      <c r="B18" s="121" t="s">
        <v>49</v>
      </c>
      <c r="C18" s="122"/>
      <c r="D18" s="122"/>
      <c r="E18" s="122"/>
      <c r="F18" s="123"/>
      <c r="G18" s="24">
        <v>363325.97907349991</v>
      </c>
      <c r="H18" s="14" t="s">
        <v>3</v>
      </c>
      <c r="I18" s="1"/>
    </row>
    <row r="19" spans="1:9" x14ac:dyDescent="0.25">
      <c r="A19" s="1"/>
      <c r="B19" s="118" t="s">
        <v>50</v>
      </c>
      <c r="C19" s="119"/>
      <c r="D19" s="119"/>
      <c r="E19" s="119"/>
      <c r="F19" s="120"/>
      <c r="G19" s="24">
        <f>SUM(G16:G18)*'Fane 12. Nøgletal'!C29</f>
        <v>160119.2922505124</v>
      </c>
      <c r="H19" s="14" t="s">
        <v>3</v>
      </c>
      <c r="I19" s="1"/>
    </row>
    <row r="20" spans="1:9" x14ac:dyDescent="0.25">
      <c r="A20" s="1"/>
      <c r="B20" s="61"/>
      <c r="C20" s="62"/>
      <c r="D20" s="62"/>
      <c r="E20" s="62"/>
      <c r="F20" s="62"/>
      <c r="G20" s="6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8" t="s">
        <v>51</v>
      </c>
      <c r="C23" s="119"/>
      <c r="D23" s="119"/>
      <c r="E23" s="119"/>
      <c r="F23" s="120"/>
      <c r="G23" s="24">
        <f>(SUM(G16:G18)-G19)*(1+'Fane 12. Nøgletal'!C11)</f>
        <v>7978440.1061877562</v>
      </c>
      <c r="H23" s="14" t="s">
        <v>3</v>
      </c>
      <c r="I23" s="1"/>
    </row>
    <row r="24" spans="1:9" x14ac:dyDescent="0.25">
      <c r="A24" s="1"/>
      <c r="B24" s="121" t="s">
        <v>52</v>
      </c>
      <c r="C24" s="122"/>
      <c r="D24" s="122"/>
      <c r="E24" s="122"/>
      <c r="F24" s="123"/>
      <c r="G24" s="24">
        <v>1103366.97255114</v>
      </c>
      <c r="H24" s="14" t="s">
        <v>3</v>
      </c>
      <c r="I24" s="1"/>
    </row>
    <row r="25" spans="1:9" x14ac:dyDescent="0.25">
      <c r="A25" s="1"/>
      <c r="B25" s="118" t="s">
        <v>53</v>
      </c>
      <c r="C25" s="119"/>
      <c r="D25" s="119"/>
      <c r="E25" s="119"/>
      <c r="F25" s="120"/>
      <c r="G25" s="24">
        <f>(G23+G24)*'Fane 12. Nøgletal'!C29</f>
        <v>181636.14157477792</v>
      </c>
      <c r="H25" s="14" t="s">
        <v>3</v>
      </c>
      <c r="I25" s="1"/>
    </row>
    <row r="26" spans="1:9" x14ac:dyDescent="0.25">
      <c r="A26" s="1"/>
      <c r="B26" s="61"/>
      <c r="C26" s="62"/>
      <c r="D26" s="62"/>
      <c r="E26" s="62"/>
      <c r="F26" s="62"/>
      <c r="G26" s="6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8" t="s">
        <v>60</v>
      </c>
      <c r="C29" s="119"/>
      <c r="D29" s="119"/>
      <c r="E29" s="119"/>
      <c r="F29" s="120"/>
      <c r="G29" s="24">
        <f>(G23+G24-G25)*(1+'Fane 12. Nøgletal'!C13)</f>
        <v>9008753.0225975215</v>
      </c>
      <c r="H29" s="14" t="s">
        <v>3</v>
      </c>
      <c r="I29" s="1"/>
    </row>
    <row r="30" spans="1:9" x14ac:dyDescent="0.25">
      <c r="A30" s="1"/>
      <c r="B30" s="118" t="s">
        <v>147</v>
      </c>
      <c r="C30" s="119"/>
      <c r="D30" s="119"/>
      <c r="E30" s="119"/>
      <c r="F30" s="120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8" t="s">
        <v>159</v>
      </c>
      <c r="C31" s="119"/>
      <c r="D31" s="119"/>
      <c r="E31" s="119"/>
      <c r="F31" s="120"/>
      <c r="G31" s="24">
        <f>(G29+G30)*'Fane 12. Nøgletal'!C29</f>
        <v>180175.06045195044</v>
      </c>
      <c r="H31" s="14" t="s">
        <v>3</v>
      </c>
      <c r="I31" s="1"/>
    </row>
    <row r="32" spans="1:9" x14ac:dyDescent="0.25">
      <c r="A32" s="1"/>
      <c r="B32" s="61"/>
      <c r="C32" s="62"/>
      <c r="D32" s="62"/>
      <c r="E32" s="62"/>
      <c r="F32" s="62"/>
      <c r="G32" s="6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8" t="s">
        <v>80</v>
      </c>
      <c r="C35" s="119"/>
      <c r="D35" s="119"/>
      <c r="E35" s="119"/>
      <c r="F35" s="120"/>
      <c r="G35" s="24">
        <f>(G29+G30-G31)*(1+'Fane 12. Nøgletal'!C13)</f>
        <v>8936286.6132837459</v>
      </c>
      <c r="H35" s="14" t="s">
        <v>3</v>
      </c>
      <c r="I35" s="1"/>
    </row>
    <row r="36" spans="1:9" x14ac:dyDescent="0.25">
      <c r="A36" s="1"/>
      <c r="B36" s="37" t="s">
        <v>192</v>
      </c>
      <c r="C36" s="67"/>
      <c r="D36" s="67"/>
      <c r="E36" s="67"/>
      <c r="F36" s="68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8" t="s">
        <v>221</v>
      </c>
      <c r="C37" s="119"/>
      <c r="D37" s="119"/>
      <c r="E37" s="119"/>
      <c r="F37" s="120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8" t="s">
        <v>177</v>
      </c>
      <c r="C38" s="119"/>
      <c r="D38" s="119"/>
      <c r="E38" s="119"/>
      <c r="F38" s="120"/>
      <c r="G38" s="24">
        <f>(G35+G37)*'Fane 12. Nøgletal'!C29</f>
        <v>178725.73226567492</v>
      </c>
      <c r="H38" s="14" t="s">
        <v>3</v>
      </c>
      <c r="I38" s="1"/>
    </row>
    <row r="39" spans="1:9" x14ac:dyDescent="0.25">
      <c r="A39" s="1"/>
      <c r="B39" s="61"/>
      <c r="C39" s="62"/>
      <c r="D39" s="62"/>
      <c r="E39" s="62"/>
      <c r="F39" s="62"/>
      <c r="G39" s="6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8" t="s">
        <v>79</v>
      </c>
      <c r="C42" s="119"/>
      <c r="D42" s="119"/>
      <c r="E42" s="119"/>
      <c r="F42" s="120"/>
      <c r="G42" s="24">
        <f>(G35+G37-G38)*(1+'Fane 12. Nøgletal'!C14)</f>
        <v>8786460.8319254313</v>
      </c>
      <c r="H42" s="14" t="s">
        <v>3</v>
      </c>
      <c r="I42" s="1"/>
    </row>
    <row r="43" spans="1:9" x14ac:dyDescent="0.25">
      <c r="A43" s="1"/>
      <c r="B43" s="118" t="s">
        <v>92</v>
      </c>
      <c r="C43" s="119"/>
      <c r="D43" s="119"/>
      <c r="E43" s="119"/>
      <c r="F43" s="120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8" t="s">
        <v>61</v>
      </c>
      <c r="C44" s="119"/>
      <c r="D44" s="119"/>
      <c r="E44" s="119"/>
      <c r="F44" s="120"/>
      <c r="G44" s="24">
        <f>(G42+G43)*'Fane 12. Nøgletal'!C29</f>
        <v>175729.21663850863</v>
      </c>
      <c r="H44" s="14" t="s">
        <v>3</v>
      </c>
      <c r="I44" s="1"/>
    </row>
    <row r="45" spans="1:9" x14ac:dyDescent="0.25">
      <c r="A45" s="1"/>
      <c r="B45" s="61"/>
      <c r="C45" s="62"/>
      <c r="D45" s="62"/>
      <c r="E45" s="62"/>
      <c r="F45" s="62"/>
      <c r="G45" s="6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8" t="s">
        <v>149</v>
      </c>
      <c r="C48" s="119"/>
      <c r="D48" s="119"/>
      <c r="E48" s="119"/>
      <c r="F48" s="120"/>
      <c r="G48" s="24">
        <f>(G42+G43-G44)*(1+'Fane 12. Nøgletal'!C14)</f>
        <v>8639147.0296173692</v>
      </c>
      <c r="H48" s="14" t="s">
        <v>3</v>
      </c>
      <c r="I48" s="1"/>
    </row>
    <row r="49" spans="1:9" x14ac:dyDescent="0.25">
      <c r="A49" s="1"/>
      <c r="B49" s="118" t="s">
        <v>150</v>
      </c>
      <c r="C49" s="119"/>
      <c r="D49" s="119"/>
      <c r="E49" s="119"/>
      <c r="F49" s="120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8" t="s">
        <v>151</v>
      </c>
      <c r="C50" s="119"/>
      <c r="D50" s="119"/>
      <c r="E50" s="119"/>
      <c r="F50" s="120"/>
      <c r="G50" s="24">
        <f>(G48+G49)*'Fane 12. Nøgletal'!C29</f>
        <v>172782.94059234738</v>
      </c>
      <c r="H50" s="14" t="s">
        <v>3</v>
      </c>
      <c r="I50" s="1"/>
    </row>
    <row r="51" spans="1:9" x14ac:dyDescent="0.25">
      <c r="A51" s="1"/>
      <c r="B51" s="61"/>
      <c r="C51" s="62"/>
      <c r="D51" s="62"/>
      <c r="E51" s="62"/>
      <c r="F51" s="62"/>
      <c r="G51" s="6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8" t="s">
        <v>199</v>
      </c>
      <c r="C54" s="119"/>
      <c r="D54" s="119"/>
      <c r="E54" s="119"/>
      <c r="F54" s="120"/>
      <c r="G54" s="24">
        <f>(G48+G49-G50)*(1+'Fane 12. Nøgletal'!C14)</f>
        <v>8494303.0905188061</v>
      </c>
      <c r="H54" s="14" t="s">
        <v>3</v>
      </c>
      <c r="I54" s="1"/>
    </row>
    <row r="55" spans="1:9" x14ac:dyDescent="0.25">
      <c r="A55" s="1"/>
      <c r="B55" s="118" t="s">
        <v>200</v>
      </c>
      <c r="C55" s="119"/>
      <c r="D55" s="119"/>
      <c r="E55" s="119"/>
      <c r="F55" s="120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8" t="s">
        <v>201</v>
      </c>
      <c r="C56" s="119"/>
      <c r="D56" s="119"/>
      <c r="E56" s="119"/>
      <c r="F56" s="120"/>
      <c r="G56" s="24">
        <f>(G54+G55)*'Fane 12. Nøgletal'!C29</f>
        <v>169886.06181037612</v>
      </c>
      <c r="H56" s="14" t="s">
        <v>3</v>
      </c>
      <c r="I56" s="1"/>
    </row>
    <row r="57" spans="1:9" x14ac:dyDescent="0.25">
      <c r="A57" s="1"/>
      <c r="B57" s="61"/>
      <c r="C57" s="62"/>
      <c r="D57" s="62"/>
      <c r="E57" s="62"/>
      <c r="F57" s="62"/>
      <c r="G57" s="62"/>
      <c r="H57" s="20"/>
      <c r="I57" s="1"/>
    </row>
  </sheetData>
  <sheetProtection algorithmName="SHA-512" hashValue="VShG6X9wyAd8qF3cJp/BUb36WoYmFc/triPNdotKDyPMzLw3ZxCX1lvfgiydssgS0pJZxd3uiBdsh5tqfIC+Vw==" saltValue="pO10WT9ZuP48x9bpk5zXA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4" t="s">
        <v>116</v>
      </c>
      <c r="C1" s="125"/>
      <c r="D1" s="125"/>
      <c r="E1" s="125"/>
      <c r="F1" s="125"/>
      <c r="G1" s="125"/>
      <c r="H1" s="125"/>
      <c r="I1" s="1"/>
    </row>
    <row r="2" spans="1:9" ht="19.899999999999999" customHeight="1" x14ac:dyDescent="0.25">
      <c r="A2" s="1"/>
      <c r="B2" s="125"/>
      <c r="C2" s="125"/>
      <c r="D2" s="125"/>
      <c r="E2" s="125"/>
      <c r="F2" s="125"/>
      <c r="G2" s="125"/>
      <c r="H2" s="125"/>
      <c r="I2" s="1"/>
    </row>
    <row r="3" spans="1:9" ht="15" customHeight="1" x14ac:dyDescent="0.25">
      <c r="A3" s="1"/>
      <c r="B3" s="126"/>
      <c r="C3" s="126"/>
      <c r="D3" s="126"/>
      <c r="E3" s="126"/>
      <c r="F3" s="126"/>
      <c r="G3" s="126"/>
      <c r="H3" s="126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8" t="s">
        <v>62</v>
      </c>
      <c r="C5" s="119"/>
      <c r="D5" s="119"/>
      <c r="E5" s="119"/>
      <c r="F5" s="120"/>
      <c r="G5" s="24">
        <v>9366911.7696834467</v>
      </c>
      <c r="H5" s="14" t="s">
        <v>3</v>
      </c>
      <c r="I5" s="1"/>
    </row>
    <row r="6" spans="1:9" x14ac:dyDescent="0.25">
      <c r="A6" s="1"/>
      <c r="B6" s="118" t="s">
        <v>59</v>
      </c>
      <c r="C6" s="119"/>
      <c r="D6" s="119"/>
      <c r="E6" s="119"/>
      <c r="F6" s="120"/>
      <c r="G6" s="24">
        <f>G5*'Fane 12. Nøgletal'!C19</f>
        <v>85238.897104119373</v>
      </c>
      <c r="H6" s="14" t="s">
        <v>3</v>
      </c>
      <c r="I6" s="1"/>
    </row>
    <row r="7" spans="1:9" x14ac:dyDescent="0.25">
      <c r="A7" s="1"/>
      <c r="B7" s="61"/>
      <c r="C7" s="62"/>
      <c r="D7" s="62"/>
      <c r="E7" s="62"/>
      <c r="F7" s="62"/>
      <c r="G7" s="6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8" t="s">
        <v>64</v>
      </c>
      <c r="C10" s="119"/>
      <c r="D10" s="119"/>
      <c r="E10" s="119"/>
      <c r="F10" s="120"/>
      <c r="G10" s="24">
        <f>(G5-G6)*(1+'Fane 12. Nøgletal'!C9)</f>
        <v>9399550.1180610843</v>
      </c>
      <c r="H10" s="14" t="s">
        <v>3</v>
      </c>
      <c r="I10" s="1"/>
    </row>
    <row r="11" spans="1:9" x14ac:dyDescent="0.25">
      <c r="A11" s="1"/>
      <c r="B11" s="121" t="s">
        <v>65</v>
      </c>
      <c r="C11" s="122"/>
      <c r="D11" s="122"/>
      <c r="E11" s="122"/>
      <c r="F11" s="123"/>
      <c r="G11" s="42">
        <v>0</v>
      </c>
      <c r="H11" s="14" t="s">
        <v>3</v>
      </c>
      <c r="I11" s="1"/>
    </row>
    <row r="12" spans="1:9" x14ac:dyDescent="0.25">
      <c r="A12" s="1"/>
      <c r="B12" s="118" t="s">
        <v>66</v>
      </c>
      <c r="C12" s="119"/>
      <c r="D12" s="119"/>
      <c r="E12" s="119"/>
      <c r="F12" s="120"/>
      <c r="G12" s="24">
        <f>G10*'Fane 12. Nøgletal'!C19+G11*'Fane 12. Nøgletal'!C20</f>
        <v>85535.906074355866</v>
      </c>
      <c r="H12" s="14" t="s">
        <v>3</v>
      </c>
      <c r="I12" s="1"/>
    </row>
    <row r="13" spans="1:9" x14ac:dyDescent="0.25">
      <c r="A13" s="1"/>
      <c r="B13" s="61"/>
      <c r="C13" s="62"/>
      <c r="D13" s="62"/>
      <c r="E13" s="62"/>
      <c r="F13" s="62"/>
      <c r="G13" s="6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8" t="s">
        <v>68</v>
      </c>
      <c r="C16" s="119"/>
      <c r="D16" s="119"/>
      <c r="E16" s="119"/>
      <c r="F16" s="120"/>
      <c r="G16" s="24">
        <f>(G10+G11-G12)*(1+'Fane 12. Nøgletal'!C11)</f>
        <v>9471421.0521693025</v>
      </c>
      <c r="H16" s="14" t="s">
        <v>3</v>
      </c>
      <c r="I16" s="1"/>
    </row>
    <row r="17" spans="1:9" x14ac:dyDescent="0.25">
      <c r="A17" s="1"/>
      <c r="B17" s="118" t="s">
        <v>126</v>
      </c>
      <c r="C17" s="119"/>
      <c r="D17" s="119"/>
      <c r="E17" s="119"/>
      <c r="F17" s="120"/>
      <c r="G17" s="24">
        <v>14259.843374698376</v>
      </c>
      <c r="H17" s="14" t="s">
        <v>3</v>
      </c>
      <c r="I17" s="1"/>
    </row>
    <row r="18" spans="1:9" x14ac:dyDescent="0.25">
      <c r="A18" s="1"/>
      <c r="B18" s="121" t="s">
        <v>69</v>
      </c>
      <c r="C18" s="122"/>
      <c r="D18" s="122"/>
      <c r="E18" s="122"/>
      <c r="F18" s="123"/>
      <c r="G18" s="24">
        <v>437315.83855460992</v>
      </c>
      <c r="H18" s="14" t="s">
        <v>3</v>
      </c>
      <c r="I18" s="1"/>
    </row>
    <row r="19" spans="1:9" x14ac:dyDescent="0.25">
      <c r="A19" s="1"/>
      <c r="B19" s="118" t="s">
        <v>70</v>
      </c>
      <c r="C19" s="119"/>
      <c r="D19" s="119"/>
      <c r="E19" s="119"/>
      <c r="F19" s="120"/>
      <c r="G19" s="24">
        <f>(G16+G17+G18)*'Fane 12. Nøgletal'!C21</f>
        <v>86330.071586657898</v>
      </c>
      <c r="H19" s="14" t="s">
        <v>3</v>
      </c>
      <c r="I19" s="1"/>
    </row>
    <row r="20" spans="1:9" x14ac:dyDescent="0.25">
      <c r="A20" s="1"/>
      <c r="B20" s="61"/>
      <c r="C20" s="62"/>
      <c r="D20" s="62"/>
      <c r="E20" s="62"/>
      <c r="F20" s="62"/>
      <c r="G20" s="6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8" t="s">
        <v>72</v>
      </c>
      <c r="C23" s="119"/>
      <c r="D23" s="119"/>
      <c r="E23" s="119"/>
      <c r="F23" s="120"/>
      <c r="G23" s="24">
        <f>(SUM(G16:G18)-G19)*(1+'Fane 12. Nøgletal'!C11)</f>
        <v>10002906.329108404</v>
      </c>
      <c r="H23" s="14" t="s">
        <v>3</v>
      </c>
      <c r="I23" s="1"/>
    </row>
    <row r="24" spans="1:9" x14ac:dyDescent="0.25">
      <c r="A24" s="1"/>
      <c r="B24" s="121" t="s">
        <v>73</v>
      </c>
      <c r="C24" s="122"/>
      <c r="D24" s="122"/>
      <c r="E24" s="122"/>
      <c r="F24" s="123"/>
      <c r="G24" s="24">
        <v>1253165.08352508</v>
      </c>
      <c r="H24" s="14" t="s">
        <v>3</v>
      </c>
      <c r="I24" s="1"/>
    </row>
    <row r="25" spans="1:9" x14ac:dyDescent="0.25">
      <c r="A25" s="1"/>
      <c r="B25" s="118" t="s">
        <v>74</v>
      </c>
      <c r="C25" s="119"/>
      <c r="D25" s="119"/>
      <c r="E25" s="119"/>
      <c r="F25" s="120"/>
      <c r="G25" s="24">
        <f>G23*'Fane 12. Nøgletal'!C21+G24*'Fane 12. Nøgletal'!C22</f>
        <v>122615.17343535539</v>
      </c>
      <c r="H25" s="14" t="s">
        <v>3</v>
      </c>
      <c r="I25" s="1"/>
    </row>
    <row r="26" spans="1:9" x14ac:dyDescent="0.25">
      <c r="A26" s="1"/>
      <c r="B26" s="61"/>
      <c r="C26" s="62"/>
      <c r="D26" s="62"/>
      <c r="E26" s="62"/>
      <c r="F26" s="62"/>
      <c r="G26" s="6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8" t="s">
        <v>75</v>
      </c>
      <c r="C29" s="119"/>
      <c r="D29" s="119"/>
      <c r="E29" s="119"/>
      <c r="F29" s="120"/>
      <c r="G29" s="24">
        <f>(G23+G24-G25)*(1+'Fane 12. Nøgletal'!C13)</f>
        <v>11269284.405316347</v>
      </c>
      <c r="H29" s="14" t="s">
        <v>3</v>
      </c>
      <c r="I29" s="1"/>
    </row>
    <row r="30" spans="1:9" x14ac:dyDescent="0.25">
      <c r="A30" s="1"/>
      <c r="B30" s="118" t="s">
        <v>152</v>
      </c>
      <c r="C30" s="119"/>
      <c r="D30" s="119"/>
      <c r="E30" s="119"/>
      <c r="F30" s="120"/>
      <c r="G30" s="24">
        <v>105298.007031</v>
      </c>
      <c r="H30" s="14" t="s">
        <v>3</v>
      </c>
      <c r="I30" s="1"/>
    </row>
    <row r="31" spans="1:9" x14ac:dyDescent="0.25">
      <c r="A31" s="1"/>
      <c r="B31" s="118" t="s">
        <v>174</v>
      </c>
      <c r="C31" s="119"/>
      <c r="D31" s="119"/>
      <c r="E31" s="119"/>
      <c r="F31" s="120"/>
      <c r="G31" s="24">
        <f>(G29+G30)*'Fane 12. Nøgletal'!C23</f>
        <v>312801.01633955201</v>
      </c>
      <c r="H31" s="14" t="s">
        <v>3</v>
      </c>
      <c r="I31" s="1"/>
    </row>
    <row r="32" spans="1:9" x14ac:dyDescent="0.25">
      <c r="A32" s="1"/>
      <c r="B32" s="61"/>
      <c r="C32" s="62"/>
      <c r="D32" s="62"/>
      <c r="E32" s="62"/>
      <c r="F32" s="62"/>
      <c r="G32" s="6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8" t="s">
        <v>78</v>
      </c>
      <c r="C35" s="119"/>
      <c r="D35" s="119"/>
      <c r="E35" s="119"/>
      <c r="F35" s="120"/>
      <c r="G35" s="24">
        <f>(G29+G30-G31)*(1+'Fane 12. Nøgletal'!C13)</f>
        <v>11196735.12903909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100627.32965762771</v>
      </c>
      <c r="H36" s="14" t="s">
        <v>3</v>
      </c>
      <c r="I36" s="38"/>
    </row>
    <row r="37" spans="1:9" x14ac:dyDescent="0.25">
      <c r="A37" s="1"/>
      <c r="B37" s="118" t="s">
        <v>193</v>
      </c>
      <c r="C37" s="119"/>
      <c r="D37" s="119"/>
      <c r="E37" s="119"/>
      <c r="F37" s="120"/>
      <c r="G37" s="24">
        <f>SUM('Fane 2.1. Økonomisk ramme 2022'!C13,'Fane 2.1. Økonomisk ramme 2022'!C15,'Fane 2.1. Økonomisk ramme 2022'!C17)*(1+'Fane 12. Nøgletal'!C14)</f>
        <v>1262158.1900334102</v>
      </c>
      <c r="H37" s="14" t="s">
        <v>3</v>
      </c>
      <c r="I37" s="1"/>
    </row>
    <row r="38" spans="1:9" x14ac:dyDescent="0.25">
      <c r="A38" s="1"/>
      <c r="B38" s="118" t="s">
        <v>179</v>
      </c>
      <c r="C38" s="119"/>
      <c r="D38" s="119"/>
      <c r="E38" s="119"/>
      <c r="F38" s="120"/>
      <c r="G38" s="24">
        <f>G35*'Fane 12. Nøgletal'!C23+G37*'Fane 12. Nøgletal'!C24</f>
        <v>326590.15726106946</v>
      </c>
      <c r="H38" s="14" t="s">
        <v>3</v>
      </c>
      <c r="I38" s="1"/>
    </row>
    <row r="39" spans="1:9" x14ac:dyDescent="0.25">
      <c r="A39" s="1"/>
      <c r="B39" s="61"/>
      <c r="C39" s="62"/>
      <c r="D39" s="62"/>
      <c r="E39" s="62"/>
      <c r="F39" s="62"/>
      <c r="G39" s="6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8" t="s">
        <v>77</v>
      </c>
      <c r="C42" s="119"/>
      <c r="D42" s="119"/>
      <c r="E42" s="119"/>
      <c r="F42" s="120"/>
      <c r="G42" s="24">
        <f>(G35+G37-G38)*(1+'Fane 12. Nøgletal'!C14)</f>
        <v>12172339.762245409</v>
      </c>
      <c r="H42" s="14" t="s">
        <v>3</v>
      </c>
      <c r="I42" s="1"/>
    </row>
    <row r="43" spans="1:9" x14ac:dyDescent="0.25">
      <c r="A43" s="1"/>
      <c r="B43" s="118" t="s">
        <v>96</v>
      </c>
      <c r="C43" s="119"/>
      <c r="D43" s="119"/>
      <c r="E43" s="119"/>
      <c r="F43" s="120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8" t="s">
        <v>76</v>
      </c>
      <c r="C44" s="119"/>
      <c r="D44" s="119"/>
      <c r="E44" s="119"/>
      <c r="F44" s="120"/>
      <c r="G44" s="24">
        <f>(G42+G43)*'Fane 12. Nøgletal'!C24</f>
        <v>180150.62848123207</v>
      </c>
      <c r="H44" s="14" t="s">
        <v>3</v>
      </c>
      <c r="I44" s="1"/>
    </row>
    <row r="45" spans="1:9" x14ac:dyDescent="0.25">
      <c r="A45" s="1"/>
      <c r="B45" s="61"/>
      <c r="C45" s="62"/>
      <c r="D45" s="62"/>
      <c r="E45" s="62"/>
      <c r="F45" s="62"/>
      <c r="G45" s="6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8" t="s">
        <v>154</v>
      </c>
      <c r="C48" s="119"/>
      <c r="D48" s="119"/>
      <c r="E48" s="119"/>
      <c r="F48" s="120"/>
      <c r="G48" s="24">
        <f>(G42+G43-G44)*(1+'Fane 12. Nøgletal'!C14)</f>
        <v>12031763.3579056</v>
      </c>
      <c r="H48" s="14" t="s">
        <v>3</v>
      </c>
      <c r="I48" s="1"/>
    </row>
    <row r="49" spans="1:9" x14ac:dyDescent="0.25">
      <c r="A49" s="1"/>
      <c r="B49" s="118" t="s">
        <v>155</v>
      </c>
      <c r="C49" s="119"/>
      <c r="D49" s="119"/>
      <c r="E49" s="119"/>
      <c r="F49" s="120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8" t="s">
        <v>156</v>
      </c>
      <c r="C50" s="119"/>
      <c r="D50" s="119"/>
      <c r="E50" s="119"/>
      <c r="F50" s="120"/>
      <c r="G50" s="24">
        <f>(G48+G49)*'Fane 12. Nøgletal'!C24</f>
        <v>178070.0976970029</v>
      </c>
      <c r="H50" s="14" t="s">
        <v>3</v>
      </c>
      <c r="I50" s="1"/>
    </row>
    <row r="51" spans="1:9" x14ac:dyDescent="0.25">
      <c r="A51" s="1"/>
      <c r="B51" s="61"/>
      <c r="C51" s="62"/>
      <c r="D51" s="62"/>
      <c r="E51" s="62"/>
      <c r="F51" s="62"/>
      <c r="G51" s="6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194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8" t="s">
        <v>195</v>
      </c>
      <c r="C54" s="119"/>
      <c r="D54" s="119"/>
      <c r="E54" s="119"/>
      <c r="F54" s="120"/>
      <c r="G54" s="24">
        <f>(G48+G49-G50)*(1+'Fane 12. Nøgletal'!C14)</f>
        <v>11892810.447967287</v>
      </c>
      <c r="H54" s="14" t="s">
        <v>3</v>
      </c>
      <c r="I54" s="1"/>
    </row>
    <row r="55" spans="1:9" x14ac:dyDescent="0.25">
      <c r="A55" s="1"/>
      <c r="B55" s="118" t="s">
        <v>196</v>
      </c>
      <c r="C55" s="119"/>
      <c r="D55" s="119"/>
      <c r="E55" s="119"/>
      <c r="F55" s="120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8" t="s">
        <v>197</v>
      </c>
      <c r="C56" s="119"/>
      <c r="D56" s="119"/>
      <c r="E56" s="119"/>
      <c r="F56" s="120"/>
      <c r="G56" s="24">
        <f>(G54+G55)*'Fane 12. Nøgletal'!C24</f>
        <v>176013.59462991587</v>
      </c>
      <c r="H56" s="14" t="s">
        <v>3</v>
      </c>
      <c r="I56" s="1"/>
    </row>
    <row r="57" spans="1:9" x14ac:dyDescent="0.25">
      <c r="A57" s="1"/>
      <c r="B57" s="61"/>
      <c r="C57" s="62"/>
      <c r="D57" s="62"/>
      <c r="E57" s="62"/>
      <c r="F57" s="62"/>
      <c r="G57" s="62"/>
      <c r="H57" s="20"/>
      <c r="I57" s="1"/>
    </row>
  </sheetData>
  <sheetProtection algorithmName="SHA-512" hashValue="72+TpSjL0HAEbGfnAreWMZKbJvg9VQuqMlKaTuBluMi5c2J58CCUZsi3RJ6BSzsb2W3t9I4rHdimx6MHeeMqWw==" saltValue="cJ1WOklZVWZG6PSDQgFmnw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8" t="s">
        <v>105</v>
      </c>
      <c r="C9" s="119"/>
      <c r="D9" s="119"/>
      <c r="E9" s="119"/>
      <c r="F9" s="120"/>
      <c r="G9" s="44">
        <v>0.02</v>
      </c>
      <c r="H9" s="14"/>
      <c r="I9" s="1"/>
    </row>
    <row r="10" spans="1:9" x14ac:dyDescent="0.25">
      <c r="A10" s="1"/>
      <c r="B10" s="118" t="s">
        <v>141</v>
      </c>
      <c r="C10" s="119"/>
      <c r="D10" s="119"/>
      <c r="E10" s="119"/>
      <c r="F10" s="120"/>
      <c r="G10" s="44">
        <v>0.02</v>
      </c>
      <c r="H10" s="14"/>
      <c r="I10" s="1"/>
    </row>
    <row r="11" spans="1:9" x14ac:dyDescent="0.25">
      <c r="A11" s="1"/>
      <c r="B11" s="61"/>
      <c r="C11" s="62"/>
      <c r="D11" s="62"/>
      <c r="E11" s="62"/>
      <c r="F11" s="62"/>
      <c r="G11" s="62"/>
      <c r="H11" s="20"/>
      <c r="I11" s="1"/>
    </row>
    <row r="12" spans="1:9" ht="14.25" customHeight="1" x14ac:dyDescent="0.25">
      <c r="A12" s="1"/>
      <c r="B12" s="127" t="s">
        <v>191</v>
      </c>
      <c r="C12" s="128"/>
      <c r="D12" s="128"/>
      <c r="E12" s="128"/>
      <c r="F12" s="128"/>
      <c r="G12" s="128"/>
      <c r="H12" s="129"/>
      <c r="I12" s="1"/>
    </row>
    <row r="13" spans="1:9" ht="12.75" customHeight="1" x14ac:dyDescent="0.25">
      <c r="A13" s="18"/>
      <c r="B13" s="130"/>
      <c r="C13" s="131"/>
      <c r="D13" s="131"/>
      <c r="E13" s="131"/>
      <c r="F13" s="131"/>
      <c r="G13" s="131"/>
      <c r="H13" s="132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qbBmzcj0hVUImPt7s6LcA5/bW7cOLFLgFMIqNwBDwb6VaXGSVuXpi6oG2NvkyU2DBAGnAz7XGi6kxztPifTAw==" saltValue="4AT18cuztfdlWF5Yqqybl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2021-10-06T08:52:09Z</dcterms:modified>
</cp:coreProperties>
</file>