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Kalundborg Overfladevand AS (V111)\ØR2024\"/>
    </mc:Choice>
  </mc:AlternateContent>
  <xr:revisionPtr revIDLastSave="0" documentId="13_ncr:1_{76FBC03C-A433-4D17-A39D-B1775D58098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G48" i="30" l="1"/>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7" i="37"/>
  <c r="C18" i="37" s="1"/>
  <c r="G6" i="30" l="1"/>
  <c r="C23" i="2" l="1"/>
  <c r="C25" i="2" s="1"/>
  <c r="G10" i="30" l="1"/>
  <c r="G12" i="30" s="1"/>
  <c r="C10" i="2" l="1"/>
  <c r="E13" i="21"/>
  <c r="E14" i="21" s="1"/>
  <c r="C13" i="21"/>
  <c r="C14" i="21" s="1"/>
  <c r="C11" i="2" l="1"/>
  <c r="C12" i="2"/>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C21" i="2" l="1"/>
  <c r="G43" i="30" l="1"/>
  <c r="G47" i="30" s="1"/>
  <c r="G49" i="30" l="1"/>
  <c r="C17" i="2" s="1"/>
  <c r="G37" i="36"/>
  <c r="G41" i="36" s="1"/>
  <c r="G53" i="30" l="1"/>
  <c r="G54" i="30" s="1"/>
  <c r="G43" i="36"/>
  <c r="G47" i="36" s="1"/>
  <c r="G58" i="30" l="1"/>
  <c r="G59" i="30" s="1"/>
  <c r="C11" i="15"/>
  <c r="C18" i="2"/>
  <c r="C15" i="2"/>
  <c r="G53" i="36" l="1"/>
  <c r="G63" i="30"/>
  <c r="G64" i="30" s="1"/>
  <c r="C11" i="23" s="1"/>
  <c r="C11" i="22"/>
  <c r="C16" i="2"/>
  <c r="C19" i="2" s="1"/>
  <c r="C32" i="2" l="1"/>
  <c r="G58" i="36"/>
  <c r="C12" i="22" s="1"/>
  <c r="C12" i="15"/>
  <c r="C8" i="15" l="1"/>
  <c r="C9" i="15" s="1"/>
  <c r="C10" i="15" s="1"/>
  <c r="G63" i="36"/>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<sst xmlns="http://schemas.openxmlformats.org/spreadsheetml/2006/main" count="549" uniqueCount="262">
  <si>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</si>
  <si>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</si>
  <si>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</si>
  <si>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</si>
  <si>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</si>
  <si>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</si>
  <si>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</si>
  <si>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</si>
  <si>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</si>
  <si>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</si>
  <si>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</si>
  <si>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</si>
  <si>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</si>
  <si>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</si>
  <si>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</si>
  <si>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</si>
  <si>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</si>
  <si>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</si>
  <si>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</si>
  <si>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</si>
  <si>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</si>
  <si>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</si>
  <si>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</si>
  <si>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</si>
  <si>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</si>
  <si>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</si>
  <si>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</si>
  <si>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</si>
  <si>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</si>
  <si>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</si>
  <si>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</si>
  <si>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</si>
  <si>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</si>
  <si>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</si>
  <si>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</si>
  <si>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</si>
  <si>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</si>
  <si>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</si>
  <si>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</si>
  <si>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</si>
  <si>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</si>
  <si>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</si>
  <si>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</si>
  <si>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</si>
  <si>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</si>
  <si>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</si>
  <si>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</si>
  <si>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</si>
  <si>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</si>
  <si>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</si>
  <si>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</si>
  <si>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</si>
  <si>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</si>
  <si>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</si>
  <si>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</si>
  <si>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</si>
  <si>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</si>
  <si>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</si>
  <si>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</si>
  <si>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</si>
  <si>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</si>
  <si>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</si>
  <si>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</si>
  <si>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</si>
  <si>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</si>
  <si>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</si>
  <si>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</si>
  <si>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</si>
  <si>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</si>
  <si>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</si>
  <si>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</si>
  <si>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</si>
  <si>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</si>
  <si>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</si>
  <si>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</si>
  <si>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</si>
  <si>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</si>
  <si>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</si>
  <si>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</si>
  <si>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</si>
  <si>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</si>
  <si>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</si>
  <si>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</si>
  <si>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</si>
  <si>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</si>
  <si>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</si>
  <si>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</si>
  <si>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</si>
  <si>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</si>
  <si>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</si>
  <si>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</si>
  <si>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</si>
  <si>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</si>
  <si>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</si>
  <si>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</si>
  <si>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</si>
  <si>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</si>
  <si>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</si>
  <si>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</si>
  <si>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</si>
  <si>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</si>
  <si>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</si>
  <si>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</si>
  <si>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</si>
  <si>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</si>
  <si>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</si>
  <si>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</si>
  <si>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</si>
  <si>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</si>
  <si>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</si>
  <si>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</si>
  <si>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</si>
  <si>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</si>
  <si>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</si>
  <si>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</si>
  <si>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</si>
  <si>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</si>
  <si>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</si>
  <si>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</si>
  <si>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</si>
  <si>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</si>
  <si>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</si>
  <si>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</si>
  <si>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</si>
  <si>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</si>
  <si>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</si>
  <si>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</si>
  <si>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</si>
  <si>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</si>
  <si>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</si>
  <si>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</si>
  <si>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</si>
  <si>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</si>
  <si>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</si>
  <si>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</si>
  <si>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</si>
  <si>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</si>
  <si>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</si>
  <si>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</si>
  <si>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</si>
  <si>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</si>
  <si>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</si>
  <si>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</si>
  <si>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</si>
  <si>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</si>
  <si>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</si>
  <si>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</si>
  <si>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</si>
  <si>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</si>
  <si>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</si>
  <si>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</si>
  <si>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</si>
  <si>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</si>
  <si>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</si>
  <si>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</si>
  <si>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</si>
  <si>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</si>
  <si>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</si>
  <si>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</si>
  <si>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</si>
  <si>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</si>
  <si>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</si>
  <si>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</si>
  <si>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</si>
  <si>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</si>
  <si>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</si>
  <si>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</si>
  <si>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</si>
  <si>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</si>
  <si>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</si>
  <si>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</si>
  <si>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</si>
  <si>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</si>
  <si>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</si>
  <si>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</si>
  <si>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</si>
  <si>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</si>
  <si>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</si>
  <si>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</si>
  <si>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</si>
  <si>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</si>
  <si>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</si>
  <si>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</si>
  <si>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</si>
  <si>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</si>
  <si>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</si>
  <si>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</si>
  <si>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</si>
  <si>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</si>
  <si>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</si>
  <si>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</si>
  <si>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</si>
  <si>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</si>
  <si>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</si>
  <si>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</si>
  <si>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</si>
  <si>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</si>
  <si>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</si>
  <si>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</si>
  <si>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</si>
  <si>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</si>
  <si>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</si>
  <si>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</si>
  <si>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</si>
  <si>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</si>
  <si>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</si>
  <si>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</si>
  <si>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</si>
  <si>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</si>
  <si>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</si>
  <si>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</si>
  <si>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</si>
  <si>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</si>
  <si>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</si>
  <si>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</si>
  <si>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</si>
  <si>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</si>
  <si>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</si>
  <si>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</si>
  <si>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</si>
  <si>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</si>
  <si>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</si>
  <si>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</si>
  <si>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</si>
  <si>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</si>
  <si>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</si>
  <si>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</si>
  <si>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</si>
  <si>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</si>
  <si>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</si>
  <si>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</si>
  <si>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</si>
  <si>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</si>
  <si>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</si>
  <si>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</si>
  <si>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</si>
  <si>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</si>
  <si>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</si>
  <si>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</si>
  <si>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</si>
  <si>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</si>
  <si>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</si>
  <si>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</si>
  <si>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</si>
  <si>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</si>
  <si>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</si>
  <si>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</si>
  <si>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</si>
  <si>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</si>
  <si>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</si>
  <si>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</si>
  <si>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</si>
  <si>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</si>
  <si>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</si>
  <si>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</si>
  <si>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</si>
  <si>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</si>
  <si>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</si>
  <si>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</si>
  <si>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Ingen engangstillæg</t>
  </si>
  <si>
    <t>Projekt Tissø</t>
  </si>
  <si>
    <t>ISO Certificering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</si>
</sst>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234</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196</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193</v>
      </c>
      <c r="E16" s="90"/>
      <c r="F16" s="90"/>
      <c r="G16" s="91"/>
      <c r="H16" s="1"/>
      <c r="I16" s="1"/>
    </row>
    <row r="17" spans="1:9" x14ac:dyDescent="0.25">
      <c r="A17" s="1"/>
      <c r="B17" s="1"/>
      <c r="C17" s="6" t="s">
        <v>102</v>
      </c>
      <c r="D17" s="89" t="s">
        <v>194</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195</v>
      </c>
      <c r="E22" s="81"/>
      <c r="F22" s="81"/>
      <c r="G22" s="82"/>
      <c r="H22" s="1"/>
      <c r="I22" s="1"/>
    </row>
    <row r="23" spans="1:9" x14ac:dyDescent="0.25">
      <c r="A23" s="1"/>
      <c r="B23" s="1"/>
      <c r="C23" s="6" t="s">
        <v>8</v>
      </c>
      <c r="D23" s="80" t="s">
        <v>175</v>
      </c>
      <c r="E23" s="81"/>
      <c r="F23" s="81"/>
      <c r="G23" s="82"/>
      <c r="H23" s="1"/>
      <c r="I23" s="1"/>
    </row>
    <row r="24" spans="1:9" x14ac:dyDescent="0.25">
      <c r="A24" s="1"/>
      <c r="B24" s="1"/>
      <c r="C24" s="6" t="s">
        <v>171</v>
      </c>
      <c r="D24" s="80" t="s">
        <v>162</v>
      </c>
      <c r="E24" s="81"/>
      <c r="F24" s="81"/>
      <c r="G24" s="82"/>
      <c r="H24" s="1"/>
      <c r="I24" s="1"/>
    </row>
    <row r="25" spans="1:9" x14ac:dyDescent="0.25">
      <c r="A25" s="1"/>
      <c r="B25" s="1"/>
      <c r="C25" s="6" t="s">
        <v>172</v>
      </c>
      <c r="D25" s="80" t="s">
        <v>74</v>
      </c>
      <c r="E25" s="81"/>
      <c r="F25" s="81"/>
      <c r="G25" s="82"/>
      <c r="H25" s="1"/>
      <c r="I25" s="1"/>
    </row>
    <row r="26" spans="1:9" x14ac:dyDescent="0.25">
      <c r="A26" s="1"/>
      <c r="B26" s="1"/>
      <c r="C26" s="6" t="s">
        <v>173</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174</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bRyTGHKCWFjdHkBFcKtAx2LPC0gKckqQtGLvPKaLQ99tK/a1ZFYgf5Z6/85woCEkptZQkIZEgJ/xjh2NY/pnjg==" saltValue="5pbsYMdnPRvsLUHBuexyx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225</v>
      </c>
      <c r="C8" s="103"/>
      <c r="D8" s="104"/>
      <c r="E8" s="1"/>
      <c r="F8" s="1"/>
    </row>
    <row r="9" spans="1:6" ht="15" customHeight="1" x14ac:dyDescent="0.25">
      <c r="A9" s="1"/>
      <c r="B9" s="32" t="s">
        <v>28</v>
      </c>
      <c r="C9" s="11" t="s">
        <v>211</v>
      </c>
      <c r="D9" s="11"/>
      <c r="E9" s="1"/>
      <c r="F9" s="1"/>
    </row>
    <row r="10" spans="1:6" ht="15" customHeight="1" x14ac:dyDescent="0.25">
      <c r="A10" s="1"/>
      <c r="B10" s="69" t="s">
        <v>242</v>
      </c>
      <c r="C10" s="9">
        <v>23560976</v>
      </c>
      <c r="D10" s="14" t="s">
        <v>3</v>
      </c>
      <c r="E10" s="1"/>
      <c r="F10" s="1"/>
    </row>
    <row r="11" spans="1:6" x14ac:dyDescent="0.25">
      <c r="A11" s="1"/>
      <c r="B11" s="69" t="s">
        <v>243</v>
      </c>
      <c r="C11" s="9">
        <v>141932</v>
      </c>
      <c r="D11" s="14" t="s">
        <v>3</v>
      </c>
      <c r="E11" s="1"/>
      <c r="F11" s="1"/>
    </row>
    <row r="12" spans="1:6" ht="26.25" x14ac:dyDescent="0.25">
      <c r="A12" s="1"/>
      <c r="B12" s="54" t="s">
        <v>244</v>
      </c>
      <c r="C12" s="9">
        <v>259585</v>
      </c>
      <c r="D12" s="14" t="s">
        <v>3</v>
      </c>
      <c r="E12" s="1"/>
      <c r="F12" s="1"/>
    </row>
    <row r="13" spans="1:6" x14ac:dyDescent="0.25">
      <c r="A13" s="1"/>
      <c r="B13" s="69" t="s">
        <v>245</v>
      </c>
      <c r="C13" s="9">
        <v>25410</v>
      </c>
      <c r="D13" s="14" t="s">
        <v>3</v>
      </c>
      <c r="E13" s="1"/>
      <c r="F13" s="1"/>
    </row>
    <row r="14" spans="1:6" x14ac:dyDescent="0.25">
      <c r="A14" s="1"/>
      <c r="B14" s="69"/>
      <c r="C14" s="9"/>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1" t="s">
        <v>212</v>
      </c>
      <c r="C19" s="12">
        <f>SUM(C10:C18)</f>
        <v>23987903</v>
      </c>
      <c r="D19" s="13" t="s">
        <v>3</v>
      </c>
      <c r="E19" s="1"/>
      <c r="F19" s="1"/>
    </row>
    <row r="20" spans="1:6" x14ac:dyDescent="0.25">
      <c r="A20" s="1"/>
      <c r="B20" s="51" t="s">
        <v>213</v>
      </c>
      <c r="C20" s="12">
        <f>C19*(1+'Fane 13. Nøgletal'!C16)^2</f>
        <v>28020956.507841919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oleNXl5e8XRxYLDY+UCmRSBiwDXGN+LrKEg/qvoCxyGhQ2ISTw8I5WzTojxgoxHCqcY0b5vm4hH1mhBMaTINoA==" saltValue="6vaPI+ZeE93x7fUgg/wxa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83F0-D922-474C-B9BF-55E6E3CE17CD}">
  <sheetPr codeName="Ark9"/>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226</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59"/>
      <c r="D6" s="60"/>
      <c r="E6" s="65"/>
      <c r="F6" s="65"/>
      <c r="G6" s="1"/>
    </row>
    <row r="7" spans="1:7" x14ac:dyDescent="0.25">
      <c r="A7" s="1"/>
      <c r="B7" s="1"/>
      <c r="C7" s="1"/>
      <c r="D7" s="1"/>
      <c r="E7" s="61"/>
      <c r="F7" s="1"/>
      <c r="G7" s="1"/>
    </row>
    <row r="8" spans="1:7" x14ac:dyDescent="0.25">
      <c r="A8" s="1"/>
      <c r="B8" s="102" t="s">
        <v>246</v>
      </c>
      <c r="C8" s="103"/>
      <c r="D8" s="103"/>
      <c r="E8" s="103"/>
      <c r="F8" s="104"/>
      <c r="G8" s="1"/>
    </row>
    <row r="9" spans="1:7" x14ac:dyDescent="0.25">
      <c r="A9" s="1"/>
      <c r="B9" s="105" t="s">
        <v>247</v>
      </c>
      <c r="C9" s="106"/>
      <c r="D9" s="107"/>
      <c r="E9" s="28">
        <v>-3102750</v>
      </c>
      <c r="F9" s="14" t="s">
        <v>3</v>
      </c>
      <c r="G9" s="1"/>
    </row>
    <row r="10" spans="1:7" x14ac:dyDescent="0.25">
      <c r="A10" s="1"/>
      <c r="B10" s="51"/>
      <c r="C10" s="52"/>
      <c r="D10" s="52"/>
      <c r="E10" s="52"/>
      <c r="F10" s="19"/>
      <c r="G10" s="1"/>
    </row>
    <row r="11" spans="1:7" ht="53.25" customHeight="1" x14ac:dyDescent="0.25">
      <c r="A11" s="1"/>
      <c r="B11" s="127" t="s">
        <v>248</v>
      </c>
      <c r="C11" s="128"/>
      <c r="D11" s="128"/>
      <c r="E11" s="128"/>
      <c r="F11" s="129"/>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249</v>
      </c>
      <c r="C14" s="106"/>
      <c r="D14" s="107"/>
      <c r="E14" s="9">
        <v>-2268754</v>
      </c>
      <c r="F14" s="14" t="s">
        <v>3</v>
      </c>
      <c r="G14" s="1"/>
    </row>
    <row r="15" spans="1:7" x14ac:dyDescent="0.25">
      <c r="A15" s="1"/>
      <c r="B15" s="105" t="s">
        <v>250</v>
      </c>
      <c r="C15" s="106"/>
      <c r="D15" s="107"/>
      <c r="E15" s="9">
        <v>-2268754</v>
      </c>
      <c r="F15" s="14" t="s">
        <v>3</v>
      </c>
      <c r="G15" s="1"/>
    </row>
    <row r="16" spans="1:7" x14ac:dyDescent="0.25">
      <c r="A16" s="1"/>
      <c r="B16" s="51"/>
      <c r="C16" s="52"/>
      <c r="D16" s="52"/>
      <c r="E16" s="52"/>
      <c r="F16" s="19"/>
      <c r="G16" s="1"/>
    </row>
    <row r="17" spans="1:7" ht="32.25" customHeight="1" x14ac:dyDescent="0.25">
      <c r="A17" s="1"/>
      <c r="B17" s="127" t="s">
        <v>251</v>
      </c>
      <c r="C17" s="128"/>
      <c r="D17" s="128"/>
      <c r="E17" s="128"/>
      <c r="F17" s="129"/>
      <c r="G17" s="1"/>
    </row>
    <row r="18" spans="1:7" x14ac:dyDescent="0.25">
      <c r="A18" s="1"/>
      <c r="B18" s="1"/>
      <c r="C18" s="1"/>
      <c r="D18" s="1"/>
      <c r="E18" s="1"/>
      <c r="F18" s="1"/>
      <c r="G18" s="1"/>
    </row>
    <row r="19" spans="1:7" x14ac:dyDescent="0.25">
      <c r="A19" s="1"/>
      <c r="B19" s="70" t="s">
        <v>252</v>
      </c>
      <c r="C19" s="71"/>
      <c r="D19" s="71"/>
      <c r="E19" s="71"/>
      <c r="F19" s="72"/>
      <c r="G19" s="1"/>
    </row>
    <row r="20" spans="1:7" x14ac:dyDescent="0.25">
      <c r="A20" s="1"/>
      <c r="B20" s="66" t="s">
        <v>253</v>
      </c>
      <c r="C20" s="67"/>
      <c r="D20" s="68"/>
      <c r="E20" s="9">
        <v>36783285</v>
      </c>
      <c r="F20" s="14" t="s">
        <v>3</v>
      </c>
      <c r="G20" s="1"/>
    </row>
    <row r="21" spans="1:7" x14ac:dyDescent="0.25">
      <c r="A21" s="1"/>
      <c r="B21" s="66" t="s">
        <v>254</v>
      </c>
      <c r="C21" s="67"/>
      <c r="D21" s="68"/>
      <c r="E21" s="9">
        <v>38597313</v>
      </c>
      <c r="F21" s="14" t="s">
        <v>3</v>
      </c>
      <c r="G21" s="1"/>
    </row>
    <row r="22" spans="1:7" x14ac:dyDescent="0.25">
      <c r="A22" s="1"/>
      <c r="B22" s="66" t="s">
        <v>29</v>
      </c>
      <c r="C22" s="67"/>
      <c r="D22" s="68"/>
      <c r="E22" s="9">
        <v>0</v>
      </c>
      <c r="F22" s="14" t="s">
        <v>3</v>
      </c>
      <c r="G22" s="1"/>
    </row>
    <row r="23" spans="1:7" x14ac:dyDescent="0.25">
      <c r="A23" s="1"/>
      <c r="B23" s="74" t="s">
        <v>255</v>
      </c>
      <c r="C23" s="75"/>
      <c r="D23" s="76"/>
      <c r="E23" s="10">
        <f>E20-(E21-E22)</f>
        <v>-1814028</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2" t="s">
        <v>256</v>
      </c>
      <c r="C26" s="103"/>
      <c r="D26" s="103"/>
      <c r="E26" s="103"/>
      <c r="F26" s="104"/>
      <c r="G26" s="1"/>
    </row>
    <row r="27" spans="1:7" x14ac:dyDescent="0.25">
      <c r="A27" s="1"/>
      <c r="B27" s="130" t="s">
        <v>257</v>
      </c>
      <c r="C27" s="131"/>
      <c r="D27" s="132"/>
      <c r="E27" s="62">
        <f>IF(AND(E15&lt;0,E23&gt;0,ABS(SUM(E14:E15))&lt;E23),ABS(E14),IF(AND(E15&lt;0,E23&gt;0,ABS(SUM(E14:E15))&gt;E23),SUM(E14,E23),0))</f>
        <v>0</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258</v>
      </c>
      <c r="C30" s="103"/>
      <c r="D30" s="103"/>
      <c r="E30" s="103"/>
      <c r="F30" s="104"/>
      <c r="G30" s="1"/>
    </row>
    <row r="31" spans="1:7" x14ac:dyDescent="0.25">
      <c r="A31" s="1"/>
      <c r="B31" s="120" t="s">
        <v>117</v>
      </c>
      <c r="C31" s="121"/>
      <c r="D31" s="122"/>
      <c r="E31" s="63">
        <f>IF(AND(E9&gt;0,(E9+E23)&gt;0),0,IF(AND(E9&gt;0,(E9+E23)&lt;0),(E9+E23),IF(AND(E9&lt;0,E23&lt;0),E23,0)))</f>
        <v>-1814028</v>
      </c>
      <c r="F31" s="14" t="s">
        <v>3</v>
      </c>
      <c r="G31" s="1"/>
    </row>
    <row r="32" spans="1:7" x14ac:dyDescent="0.25">
      <c r="A32" s="1"/>
      <c r="B32" s="120" t="s">
        <v>85</v>
      </c>
      <c r="C32" s="121"/>
      <c r="D32" s="122"/>
      <c r="E32" s="9">
        <v>2</v>
      </c>
      <c r="F32" s="14" t="s">
        <v>18</v>
      </c>
      <c r="G32" s="1"/>
    </row>
    <row r="33" spans="1:7" x14ac:dyDescent="0.25">
      <c r="A33" s="1"/>
      <c r="B33" s="123" t="s">
        <v>116</v>
      </c>
      <c r="C33" s="123"/>
      <c r="D33" s="123"/>
      <c r="E33" s="62">
        <f>E31/E32</f>
        <v>-907014</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5hlMhWhdXWixg9C+MMJSGVdvJ5XcYibnM+FeZCCRQI7O1uJjptalq7MM6XQ2f6ivCZcLtLimoV15aYtfYZ4+Mw==" saltValue="Mfojqn7Ah42oqVWA2n34D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182</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183</v>
      </c>
      <c r="C8" s="103"/>
      <c r="D8" s="103"/>
      <c r="E8" s="103"/>
      <c r="F8" s="103"/>
      <c r="G8" s="103"/>
      <c r="H8" s="104"/>
      <c r="I8" s="1"/>
    </row>
    <row r="9" spans="1:9" ht="15" customHeight="1" x14ac:dyDescent="0.25">
      <c r="A9" s="1"/>
      <c r="B9" s="133" t="s">
        <v>233</v>
      </c>
      <c r="C9" s="134"/>
      <c r="D9" s="134"/>
      <c r="E9" s="134"/>
      <c r="F9" s="134"/>
      <c r="G9" s="134"/>
      <c r="H9" s="135"/>
      <c r="I9" s="1"/>
    </row>
    <row r="10" spans="1:9" x14ac:dyDescent="0.25">
      <c r="A10" s="1"/>
      <c r="B10" s="136" t="s">
        <v>184</v>
      </c>
      <c r="C10" s="137"/>
      <c r="D10" s="137"/>
      <c r="E10" s="137"/>
      <c r="F10" s="138"/>
      <c r="G10" s="45"/>
      <c r="H10" s="9" t="s">
        <v>3</v>
      </c>
      <c r="I10" s="1"/>
    </row>
    <row r="11" spans="1:9" x14ac:dyDescent="0.25">
      <c r="A11" s="1"/>
      <c r="B11" s="136" t="s">
        <v>185</v>
      </c>
      <c r="C11" s="137"/>
      <c r="D11" s="137"/>
      <c r="E11" s="137"/>
      <c r="F11" s="138"/>
      <c r="G11" s="45"/>
      <c r="H11" s="9" t="s">
        <v>3</v>
      </c>
      <c r="I11" s="1"/>
    </row>
    <row r="12" spans="1:9" x14ac:dyDescent="0.25">
      <c r="A12" s="1"/>
      <c r="B12" s="136" t="s">
        <v>186</v>
      </c>
      <c r="C12" s="137"/>
      <c r="D12" s="137"/>
      <c r="E12" s="137"/>
      <c r="F12" s="138"/>
      <c r="G12" s="9"/>
      <c r="H12" s="9" t="s">
        <v>3</v>
      </c>
      <c r="I12" s="1"/>
    </row>
    <row r="13" spans="1:9" x14ac:dyDescent="0.25">
      <c r="A13" s="1"/>
      <c r="B13" s="136" t="s">
        <v>187</v>
      </c>
      <c r="C13" s="137"/>
      <c r="D13" s="137"/>
      <c r="E13" s="137"/>
      <c r="F13" s="138"/>
      <c r="G13" s="9"/>
      <c r="H13" s="9" t="s">
        <v>3</v>
      </c>
      <c r="I13" s="1"/>
    </row>
    <row r="14" spans="1:9" x14ac:dyDescent="0.25">
      <c r="A14" s="1"/>
      <c r="B14" s="136" t="s">
        <v>188</v>
      </c>
      <c r="C14" s="137"/>
      <c r="D14" s="137"/>
      <c r="E14" s="137"/>
      <c r="F14" s="138"/>
      <c r="G14" s="9"/>
      <c r="H14" s="9" t="s">
        <v>3</v>
      </c>
      <c r="I14" s="1"/>
    </row>
    <row r="15" spans="1:9" x14ac:dyDescent="0.25">
      <c r="A15" s="1"/>
      <c r="B15" s="136" t="s">
        <v>189</v>
      </c>
      <c r="C15" s="137"/>
      <c r="D15" s="137"/>
      <c r="E15" s="137"/>
      <c r="F15" s="138"/>
      <c r="G15" s="9"/>
      <c r="H15" s="9" t="s">
        <v>3</v>
      </c>
      <c r="I15" s="1"/>
    </row>
    <row r="16" spans="1:9" x14ac:dyDescent="0.25">
      <c r="A16" s="1"/>
      <c r="B16" s="136" t="s">
        <v>190</v>
      </c>
      <c r="C16" s="137"/>
      <c r="D16" s="137"/>
      <c r="E16" s="137"/>
      <c r="F16" s="138"/>
      <c r="G16" s="9"/>
      <c r="H16" s="9" t="s">
        <v>3</v>
      </c>
      <c r="I16" s="1"/>
    </row>
    <row r="17" spans="1:9" x14ac:dyDescent="0.25">
      <c r="A17" s="1"/>
      <c r="B17" s="136" t="s">
        <v>191</v>
      </c>
      <c r="C17" s="137"/>
      <c r="D17" s="137"/>
      <c r="E17" s="137"/>
      <c r="F17" s="138"/>
      <c r="G17" s="9"/>
      <c r="H17" s="9" t="s">
        <v>3</v>
      </c>
      <c r="I17" s="1"/>
    </row>
    <row r="18" spans="1:9" x14ac:dyDescent="0.25">
      <c r="A18" s="1"/>
      <c r="B18" s="102" t="s">
        <v>192</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6W7pGJv6pqGvWEdbFWnqyk/8Wp6dEpwkhByDklDGszj7+y4uSc691nXEfDEK/sd9BvAWLEHxRLZQKH9r0T/YLQ==" saltValue="MIVOOLZDwN27rwmdTbf3E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176</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169</v>
      </c>
      <c r="E9" s="140"/>
      <c r="F9" s="139" t="s">
        <v>2</v>
      </c>
      <c r="G9" s="140"/>
      <c r="H9" s="139" t="s">
        <v>170</v>
      </c>
      <c r="I9" s="140"/>
      <c r="J9" s="139" t="s">
        <v>26</v>
      </c>
      <c r="K9" s="140"/>
      <c r="L9" s="1"/>
    </row>
    <row r="10" spans="1:12" x14ac:dyDescent="0.25">
      <c r="A10" s="1"/>
      <c r="B10" s="79" t="s">
        <v>237</v>
      </c>
      <c r="C10" s="31">
        <v>0</v>
      </c>
      <c r="D10" s="9">
        <v>0</v>
      </c>
      <c r="E10" s="14" t="s">
        <v>3</v>
      </c>
      <c r="F10" s="55">
        <f>IFERROR(D10/C10,0)</f>
        <v>0</v>
      </c>
      <c r="G10" s="14" t="s">
        <v>3</v>
      </c>
      <c r="H10" s="9">
        <v>0</v>
      </c>
      <c r="I10" s="14" t="s">
        <v>3</v>
      </c>
      <c r="J10" s="9">
        <v>0</v>
      </c>
      <c r="K10" s="14" t="s">
        <v>3</v>
      </c>
      <c r="L10" s="1"/>
    </row>
    <row r="11" spans="1:12" x14ac:dyDescent="0.25">
      <c r="A11" s="1"/>
      <c r="B11" s="51" t="s">
        <v>214</v>
      </c>
      <c r="C11" s="52"/>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VbIn2cVKCPeHmVo4ifhwFEK3rv64cqRSyxhh6zYwbiZDmPc4elobtI5cxwXbOFs+SeRzH6dKG0W4X7BCj7tMAw==" saltValue="qifgbSIxtePkTPjT3Kp6g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177</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7" t="s">
        <v>15</v>
      </c>
      <c r="C9" s="77" t="s">
        <v>10</v>
      </c>
      <c r="D9" s="78"/>
      <c r="E9" s="77" t="s">
        <v>27</v>
      </c>
      <c r="F9" s="30"/>
      <c r="G9" s="1"/>
    </row>
    <row r="10" spans="1:7" x14ac:dyDescent="0.25">
      <c r="A10" s="1"/>
      <c r="B10" s="23" t="s">
        <v>260</v>
      </c>
      <c r="C10" s="21">
        <v>2711563</v>
      </c>
      <c r="D10" s="14" t="s">
        <v>3</v>
      </c>
      <c r="E10" s="9">
        <f>'Fane 9. Anlægsprojekter (§ 19) '!F11+'Fane 9. Anlægsprojekter (§ 19) '!J11</f>
        <v>0</v>
      </c>
      <c r="F10" s="14" t="s">
        <v>3</v>
      </c>
      <c r="G10" s="1"/>
    </row>
    <row r="11" spans="1:7" x14ac:dyDescent="0.25">
      <c r="A11" s="1"/>
      <c r="B11" s="27" t="s">
        <v>261</v>
      </c>
      <c r="C11" s="21">
        <v>80008</v>
      </c>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2791571</v>
      </c>
      <c r="D17" s="13" t="s">
        <v>3</v>
      </c>
      <c r="E17" s="12">
        <f>SUM(E10:E16)</f>
        <v>0</v>
      </c>
      <c r="F17" s="13" t="s">
        <v>3</v>
      </c>
      <c r="G17" s="1"/>
    </row>
    <row r="18" spans="1:7" x14ac:dyDescent="0.25">
      <c r="A18" s="1"/>
      <c r="B18" s="51" t="s">
        <v>208</v>
      </c>
      <c r="C18" s="12">
        <f>C17*(1+'Fane 13. Nøgletal'!C16)</f>
        <v>3017129.9367999998</v>
      </c>
      <c r="D18" s="13" t="s">
        <v>3</v>
      </c>
      <c r="E18" s="12">
        <f>E17*(1+'Fane 13. Nøgletal'!C16)</f>
        <v>0</v>
      </c>
      <c r="F18" s="13" t="s">
        <v>3</v>
      </c>
      <c r="G18" s="1"/>
    </row>
    <row r="19" spans="1:7" x14ac:dyDescent="0.25">
      <c r="A19" s="1"/>
      <c r="B19" s="1"/>
      <c r="C19" s="1" t="s">
        <v>167</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F0b+9epz1jkzAFl2VXjp3NnGhljuSipR4QscWKOJ0vOvIg6nDG/fnkcXjNpy7xWMrUArnLz+oHfF4JBpDwirGw==" saltValue="jTLjGQaaaTnXW1K5K4QqK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216</v>
      </c>
      <c r="C9" s="103"/>
      <c r="D9" s="103"/>
      <c r="E9" s="103"/>
      <c r="F9" s="104"/>
      <c r="G9" s="1"/>
    </row>
    <row r="10" spans="1:7" ht="26.25" x14ac:dyDescent="0.25">
      <c r="A10" s="1"/>
      <c r="B10" s="77" t="s">
        <v>15</v>
      </c>
      <c r="C10" s="77" t="s">
        <v>10</v>
      </c>
      <c r="D10" s="78"/>
      <c r="E10" s="77" t="s">
        <v>27</v>
      </c>
      <c r="F10" s="30"/>
      <c r="G10" s="1"/>
    </row>
    <row r="11" spans="1:7" x14ac:dyDescent="0.25">
      <c r="A11" s="1"/>
      <c r="B11" s="23" t="s">
        <v>259</v>
      </c>
      <c r="C11" s="21">
        <v>0</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217</v>
      </c>
      <c r="C14" s="12">
        <f>SUM(C11:C13)</f>
        <v>0</v>
      </c>
      <c r="D14" s="13" t="s">
        <v>3</v>
      </c>
      <c r="E14" s="12">
        <f>SUM(E11:E13)</f>
        <v>0</v>
      </c>
      <c r="F14" s="13" t="s">
        <v>3</v>
      </c>
      <c r="G14" s="1"/>
    </row>
    <row r="15" spans="1:7" x14ac:dyDescent="0.25">
      <c r="A15" s="1"/>
      <c r="B15" s="51" t="s">
        <v>218</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Eeb6ujLDwXG1YwSaZNvdjf8ECT5hDId4kS9sBntKyGJbUHUhm/F/F4z8jLApmt54DDEa+qzqVKDwwZoQeGOqA==" saltValue="1tcYuIOR8+xzxhkNoux7H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179</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3" t="s">
        <v>105</v>
      </c>
      <c r="C9" s="133" t="s">
        <v>10</v>
      </c>
      <c r="D9" s="135"/>
      <c r="E9" s="133" t="s">
        <v>27</v>
      </c>
      <c r="F9" s="135"/>
      <c r="G9" s="1"/>
    </row>
    <row r="10" spans="1:7" ht="26.25" x14ac:dyDescent="0.25">
      <c r="A10" s="1"/>
      <c r="B10" s="57" t="s">
        <v>240</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215</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4ZwQ7+xDu3oG2+rmqlKDf728sXuKIiDsNT9TwIG2EHoG4olxYpsbQ2e+iZeWpEm+kt6V8jFNmEQ/n9v9s6zYA==" saltValue="ie6OC5/61faUXn0uLdeJm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236</v>
      </c>
      <c r="C10" s="103"/>
      <c r="D10" s="103"/>
      <c r="E10" s="103"/>
      <c r="F10" s="104"/>
      <c r="G10" s="1"/>
    </row>
    <row r="11" spans="1:7" ht="26.25" x14ac:dyDescent="0.25">
      <c r="A11" s="1"/>
      <c r="B11" s="53" t="s">
        <v>16</v>
      </c>
      <c r="C11" s="53" t="s">
        <v>10</v>
      </c>
      <c r="D11" s="30"/>
      <c r="E11" s="53" t="s">
        <v>27</v>
      </c>
      <c r="F11" s="30"/>
      <c r="G11" s="1"/>
    </row>
    <row r="12" spans="1:7" x14ac:dyDescent="0.25">
      <c r="A12" s="1"/>
      <c r="B12" s="57" t="s">
        <v>241</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232</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4When3Ll4+YAQg52oo71Oa5NwLwuxtJvNe7C/6cWe2PEw5itOKROFnNwn5xu46L+AQu6lunlxAsH/fYceGQrg==" saltValue="wvYejIJzkyFV6QOTDwpli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181</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206</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0" t="s">
        <v>207</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9"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gUURGCkzFQ9DmQ9j/wygiYYQbY9hpQFz6Fg8MNgR6jOKhEaGMwDHddasNQuzJLYdW7ugnWhgccy6UmRyirDXZg==" saltValue="SO7/wkl2mIra0PtuhBl4K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197</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15259133.541892212</v>
      </c>
      <c r="D8" s="8" t="s">
        <v>3</v>
      </c>
      <c r="E8" s="1"/>
    </row>
    <row r="9" spans="1:5" ht="17.100000000000001" customHeight="1" x14ac:dyDescent="0.25">
      <c r="A9" s="1"/>
      <c r="B9" s="24" t="s">
        <v>33</v>
      </c>
      <c r="C9" s="7">
        <f>'Fane 10.1. Varige tillæg'!C18</f>
        <v>3017129.9367999998</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787009.2529848027</v>
      </c>
      <c r="D15" s="8" t="s">
        <v>3</v>
      </c>
      <c r="E15" s="1"/>
    </row>
    <row r="16" spans="1:5" ht="17.100000000000001" customHeight="1" x14ac:dyDescent="0.25">
      <c r="A16" s="1"/>
      <c r="B16" s="24" t="s">
        <v>9</v>
      </c>
      <c r="C16" s="9">
        <f>-SUM(C8,C9:C15)*'Fane 5. Individuelt eff. krav'!G9</f>
        <v>-40418.64843304336</v>
      </c>
      <c r="D16" s="8" t="s">
        <v>3</v>
      </c>
      <c r="E16" s="1"/>
    </row>
    <row r="17" spans="1:5" ht="17.100000000000001" customHeight="1" x14ac:dyDescent="0.25">
      <c r="A17" s="1"/>
      <c r="B17" s="24" t="s">
        <v>22</v>
      </c>
      <c r="C17" s="9">
        <f>-'Fane 4.1. Gen. krav - drift'!G49</f>
        <v>-243621.42008296351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18779232.663161006</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28020956.507841919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163</v>
      </c>
      <c r="C25" s="9">
        <f>-C23*('Fane 13. Nøgletal'!C33+'Fane 5. Individuelt eff. krav'!G9)</f>
        <v>0</v>
      </c>
      <c r="D25" s="8" t="s">
        <v>3</v>
      </c>
      <c r="E25" s="1"/>
    </row>
    <row r="26" spans="1:5" ht="15" customHeight="1" x14ac:dyDescent="0.25">
      <c r="A26" s="1"/>
      <c r="B26" s="24" t="s">
        <v>164</v>
      </c>
      <c r="C26" s="9">
        <f>-C24*('Fane 13. Nøgletal'!C28+'Fane 5. Individuelt eff. krav'!G9)</f>
        <v>0</v>
      </c>
      <c r="D26" s="8" t="s">
        <v>3</v>
      </c>
      <c r="E26" s="1"/>
    </row>
    <row r="27" spans="1:5" x14ac:dyDescent="0.25">
      <c r="A27" s="1"/>
      <c r="B27" s="74" t="s">
        <v>76</v>
      </c>
      <c r="C27" s="56">
        <f>SUM(C23:C26)</f>
        <v>0</v>
      </c>
      <c r="D27" s="11" t="s">
        <v>3</v>
      </c>
      <c r="E27" s="1"/>
    </row>
    <row r="28" spans="1:5" ht="15" customHeight="1" x14ac:dyDescent="0.25">
      <c r="A28" s="1"/>
      <c r="B28" s="26" t="s">
        <v>117</v>
      </c>
      <c r="C28" s="52"/>
      <c r="D28" s="19"/>
      <c r="E28" s="1"/>
    </row>
    <row r="29" spans="1:5" x14ac:dyDescent="0.25">
      <c r="A29" s="1"/>
      <c r="B29" s="73" t="s">
        <v>118</v>
      </c>
      <c r="C29" s="10">
        <f>'Fane 7. Kontrol af ØR2022'!E15</f>
        <v>-2268754</v>
      </c>
      <c r="D29" s="11" t="s">
        <v>3</v>
      </c>
      <c r="E29" s="1"/>
    </row>
    <row r="30" spans="1:5" x14ac:dyDescent="0.25">
      <c r="A30" s="1"/>
      <c r="B30" s="26" t="s">
        <v>138</v>
      </c>
      <c r="C30" s="52"/>
      <c r="D30" s="19"/>
      <c r="E30" s="1"/>
    </row>
    <row r="31" spans="1:5" x14ac:dyDescent="0.25">
      <c r="A31" s="1"/>
      <c r="B31" s="73" t="s">
        <v>139</v>
      </c>
      <c r="C31" s="10">
        <f>'Fane 8. Skattesagen'!G13</f>
        <v>0</v>
      </c>
      <c r="D31" s="11" t="s">
        <v>3</v>
      </c>
      <c r="E31" s="1"/>
    </row>
    <row r="32" spans="1:5" x14ac:dyDescent="0.25">
      <c r="A32" s="1"/>
      <c r="B32" s="51" t="s">
        <v>126</v>
      </c>
      <c r="C32" s="33">
        <f>SUM(C19,C21,C27,C29,C31)</f>
        <v>44531435.171002924</v>
      </c>
      <c r="D32" s="19" t="s">
        <v>3</v>
      </c>
      <c r="E32" s="1"/>
    </row>
    <row r="33" spans="1:5" x14ac:dyDescent="0.25">
      <c r="A33" s="1"/>
      <c r="B33" s="1" t="s">
        <v>167</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VnaFrnJQbH0LL09eANufXq81pm//UsgzzWyjDw4lzogQHFLy5UeLOcY1w7hNW+URun1CvwrgD2hyCi7jokJMg==" saltValue="1aeXgJ+6UbqKVBHONRVKm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18779232.663161006</v>
      </c>
      <c r="D8" s="8" t="s">
        <v>3</v>
      </c>
      <c r="E8" s="1"/>
    </row>
    <row r="9" spans="1:5" ht="15" customHeight="1" x14ac:dyDescent="0.25">
      <c r="A9" s="1"/>
      <c r="B9" s="29" t="s">
        <v>17</v>
      </c>
      <c r="C9" s="9">
        <f>SUM(C8:C8)*'Fane 13. Nøgletal'!C16</f>
        <v>1517361.9991834091</v>
      </c>
      <c r="D9" s="8" t="s">
        <v>3</v>
      </c>
      <c r="E9" s="1"/>
    </row>
    <row r="10" spans="1:5" ht="15" customHeight="1" x14ac:dyDescent="0.25">
      <c r="A10" s="1"/>
      <c r="B10" s="29" t="s">
        <v>9</v>
      </c>
      <c r="C10" s="9">
        <f>-SUM(C8:C9)*'Fane 5. Individuelt eff. krav'!G9</f>
        <v>-43033.582721717445</v>
      </c>
      <c r="D10" s="8" t="s">
        <v>3</v>
      </c>
      <c r="E10" s="1"/>
    </row>
    <row r="11" spans="1:5" ht="15" customHeight="1" x14ac:dyDescent="0.25">
      <c r="A11" s="1"/>
      <c r="B11" s="29" t="s">
        <v>22</v>
      </c>
      <c r="C11" s="9">
        <f>-'Fane 4.1. Gen. krav - drift'!G54</f>
        <v>-258039.9102091536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19995521.169413544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30285049.793675546</v>
      </c>
      <c r="D15" s="11" t="s">
        <v>3</v>
      </c>
      <c r="E15" s="1"/>
    </row>
    <row r="16" spans="1:5" x14ac:dyDescent="0.25">
      <c r="A16" s="1"/>
      <c r="B16" s="26" t="s">
        <v>117</v>
      </c>
      <c r="C16" s="52"/>
      <c r="D16" s="19"/>
      <c r="E16" s="1"/>
    </row>
    <row r="17" spans="1:5" ht="15" customHeight="1" x14ac:dyDescent="0.25">
      <c r="A17" s="1"/>
      <c r="B17" s="73" t="s">
        <v>118</v>
      </c>
      <c r="C17" s="10">
        <f>'Fane 7. Kontrol af ØR2022'!E33</f>
        <v>-907014</v>
      </c>
      <c r="D17" s="11" t="s">
        <v>3</v>
      </c>
      <c r="E17" s="1"/>
    </row>
    <row r="18" spans="1:5" x14ac:dyDescent="0.25">
      <c r="A18" s="1"/>
      <c r="B18" s="26" t="s">
        <v>138</v>
      </c>
      <c r="C18" s="52"/>
      <c r="D18" s="19"/>
      <c r="E18" s="1"/>
    </row>
    <row r="19" spans="1:5" x14ac:dyDescent="0.25">
      <c r="A19" s="1"/>
      <c r="B19" s="73" t="s">
        <v>139</v>
      </c>
      <c r="C19" s="10">
        <f>'Fane 8. Skattesagen'!G13</f>
        <v>0</v>
      </c>
      <c r="D19" s="11" t="s">
        <v>3</v>
      </c>
      <c r="E19" s="1"/>
    </row>
    <row r="20" spans="1:5" x14ac:dyDescent="0.25">
      <c r="A20" s="1"/>
      <c r="B20" s="51" t="s">
        <v>128</v>
      </c>
      <c r="C20" s="12">
        <f>SUM(C13,C15,C17,C19)</f>
        <v>49373556.963089094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UvEk92ik/A2j2SmrcshhALiaMU2mKBTxrGRiJVeqin3lZEz5AhzhsXkip1MT5p3v7DZh8wnqKUZrv1YAJeqlw==" saltValue="4K0p3Xda/d4XSFUMabDR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19995521.169413544</v>
      </c>
      <c r="D8" s="8" t="s">
        <v>3</v>
      </c>
      <c r="E8" s="1"/>
    </row>
    <row r="9" spans="1:5" ht="15" customHeight="1" x14ac:dyDescent="0.25">
      <c r="A9" s="1"/>
      <c r="B9" s="29" t="s">
        <v>17</v>
      </c>
      <c r="C9" s="9">
        <f>SUM(C8:C8)*'Fane 13. Nøgletal'!C16</f>
        <v>1615638.1104886143</v>
      </c>
      <c r="D9" s="8" t="s">
        <v>3</v>
      </c>
      <c r="E9" s="1"/>
    </row>
    <row r="10" spans="1:5" ht="15" customHeight="1" x14ac:dyDescent="0.25">
      <c r="A10" s="1"/>
      <c r="B10" s="29" t="s">
        <v>9</v>
      </c>
      <c r="C10" s="9">
        <f>-SUM(C8:C9)*'Fane 5. Individuelt eff. krav'!G9</f>
        <v>-45820.770728071402</v>
      </c>
      <c r="D10" s="8" t="s">
        <v>3</v>
      </c>
      <c r="E10" s="1"/>
    </row>
    <row r="11" spans="1:5" ht="15" customHeight="1" x14ac:dyDescent="0.25">
      <c r="A11" s="1"/>
      <c r="B11" s="29" t="s">
        <v>22</v>
      </c>
      <c r="C11" s="9">
        <f>-'Fane 4.1. Gen. krav - drift'!G59</f>
        <v>-273311.74425497215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21292026.764919117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32732081.817004528</v>
      </c>
      <c r="D15" s="11" t="s">
        <v>3</v>
      </c>
      <c r="E15" s="1"/>
    </row>
    <row r="16" spans="1:5" x14ac:dyDescent="0.25">
      <c r="A16" s="1"/>
      <c r="B16" s="51" t="s">
        <v>117</v>
      </c>
      <c r="C16" s="52"/>
      <c r="D16" s="19"/>
      <c r="E16" s="1"/>
    </row>
    <row r="17" spans="1:5" x14ac:dyDescent="0.25">
      <c r="A17" s="1"/>
      <c r="B17" s="53" t="s">
        <v>118</v>
      </c>
      <c r="C17" s="10">
        <f>'Fane 7. Kontrol af ØR2022'!E33</f>
        <v>-907014</v>
      </c>
      <c r="D17" s="11" t="s">
        <v>3</v>
      </c>
      <c r="E17" s="1"/>
    </row>
    <row r="18" spans="1:5" ht="15" customHeight="1" x14ac:dyDescent="0.25">
      <c r="A18" s="1"/>
      <c r="B18" s="26" t="s">
        <v>138</v>
      </c>
      <c r="C18" s="52"/>
      <c r="D18" s="19"/>
      <c r="E18" s="1"/>
    </row>
    <row r="19" spans="1:5" ht="15" customHeight="1" x14ac:dyDescent="0.25">
      <c r="A19" s="1"/>
      <c r="B19" s="73" t="s">
        <v>139</v>
      </c>
      <c r="C19" s="10">
        <f>'Fane 8. Skattesagen'!G14</f>
        <v>0</v>
      </c>
      <c r="D19" s="11" t="s">
        <v>3</v>
      </c>
      <c r="E19" s="1"/>
    </row>
    <row r="20" spans="1:5" x14ac:dyDescent="0.25">
      <c r="A20" s="1"/>
      <c r="B20" s="51" t="s">
        <v>143</v>
      </c>
      <c r="C20" s="12">
        <f>SUM(C13,C15,C17,C19)</f>
        <v>53117094.581923649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4OtGmOiUgw4oNsFRwH0hpo4LacFJCRUBpqWMkLFEb0SfroC+0/Lt4IFpiBeGU9WmY2WoCaYAs6PVh17F9assw==" saltValue="YGLN6mWVqfh/TRFzgcv78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203</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1" t="s">
        <v>12</v>
      </c>
      <c r="C7" s="52"/>
      <c r="D7" s="19"/>
      <c r="E7" s="1"/>
    </row>
    <row r="8" spans="1:5" ht="15" customHeight="1" x14ac:dyDescent="0.25">
      <c r="A8" s="1"/>
      <c r="B8" s="54" t="s">
        <v>202</v>
      </c>
      <c r="C8" s="7">
        <f>'Fane 2.3. Økonomisk ramme 2026'!C13</f>
        <v>21292026.764919117</v>
      </c>
      <c r="D8" s="8" t="s">
        <v>3</v>
      </c>
      <c r="E8" s="1"/>
    </row>
    <row r="9" spans="1:5" ht="15" customHeight="1" x14ac:dyDescent="0.25">
      <c r="A9" s="1"/>
      <c r="B9" s="29" t="s">
        <v>17</v>
      </c>
      <c r="C9" s="9">
        <f>SUM(C8:C8)*'Fane 13. Nøgletal'!C16</f>
        <v>1720395.7626054646</v>
      </c>
      <c r="D9" s="8" t="s">
        <v>3</v>
      </c>
      <c r="E9" s="1"/>
    </row>
    <row r="10" spans="1:5" ht="15" customHeight="1" x14ac:dyDescent="0.25">
      <c r="A10" s="1"/>
      <c r="B10" s="29" t="s">
        <v>9</v>
      </c>
      <c r="C10" s="9">
        <f>-SUM(C8:C9)*'Fane 5. Individuelt eff. krav'!G9</f>
        <v>-48791.780342474209</v>
      </c>
      <c r="D10" s="8" t="s">
        <v>3</v>
      </c>
      <c r="E10" s="1"/>
    </row>
    <row r="11" spans="1:5" ht="15" customHeight="1" x14ac:dyDescent="0.25">
      <c r="A11" s="1"/>
      <c r="B11" s="29" t="s">
        <v>22</v>
      </c>
      <c r="C11" s="9">
        <f>-'Fane 4.1. Gen. krav - drift'!G64</f>
        <v>-289487.42652695841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22674143.320655148</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35376834.027818494</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3" t="s">
        <v>139</v>
      </c>
      <c r="C19" s="10">
        <f>'Fane 8. Skattesagen'!G15</f>
        <v>0</v>
      </c>
      <c r="D19" s="11" t="s">
        <v>3</v>
      </c>
      <c r="E19" s="1"/>
    </row>
    <row r="20" spans="1:5" x14ac:dyDescent="0.25">
      <c r="A20" s="1"/>
      <c r="B20" s="51" t="s">
        <v>204</v>
      </c>
      <c r="C20" s="12">
        <f>SUM(C13,C15,C17,C19)</f>
        <v>58050977.348473638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lIh1dZDRp8AUwbB0FX2dlWIkx8s+dQmAWW6dbsxZhZaF38x9kBoCUICEelH6zZCdtYK90GLaFdN0P6ANGzI/g==" saltValue="IFwOkkH60J4WoEozN8CCc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200</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1" t="s">
        <v>201</v>
      </c>
      <c r="C7" s="52"/>
      <c r="D7" s="19"/>
      <c r="E7" s="1"/>
    </row>
    <row r="8" spans="1:5" x14ac:dyDescent="0.25">
      <c r="A8" s="1"/>
      <c r="B8" s="54" t="s">
        <v>108</v>
      </c>
      <c r="C8" s="7">
        <v>14240557.995240327</v>
      </c>
      <c r="D8" s="8" t="s">
        <v>3</v>
      </c>
      <c r="E8" s="1"/>
    </row>
    <row r="9" spans="1:5" x14ac:dyDescent="0.25">
      <c r="A9" s="1"/>
      <c r="B9" s="24" t="s">
        <v>33</v>
      </c>
      <c r="C9" s="7">
        <v>695435.43240000005</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531721.36602399556</v>
      </c>
      <c r="D15" s="8" t="s">
        <v>3</v>
      </c>
      <c r="E15" s="1"/>
    </row>
    <row r="16" spans="1:5" x14ac:dyDescent="0.25">
      <c r="A16" s="1"/>
      <c r="B16" s="24" t="s">
        <v>9</v>
      </c>
      <c r="C16" s="9">
        <v>-32795.214919673657</v>
      </c>
      <c r="D16" s="8" t="s">
        <v>3</v>
      </c>
      <c r="E16" s="1"/>
    </row>
    <row r="17" spans="1:5" x14ac:dyDescent="0.25">
      <c r="A17" s="1"/>
      <c r="B17" s="24" t="s">
        <v>22</v>
      </c>
      <c r="C17" s="9">
        <v>-175786.03685243565</v>
      </c>
      <c r="D17" s="8" t="s">
        <v>3</v>
      </c>
      <c r="E17" s="1"/>
    </row>
    <row r="18" spans="1:5" x14ac:dyDescent="0.25">
      <c r="A18" s="1"/>
      <c r="B18" s="24" t="s">
        <v>23</v>
      </c>
      <c r="C18" s="9">
        <v>0</v>
      </c>
      <c r="D18" s="8" t="s">
        <v>3</v>
      </c>
      <c r="E18" s="1"/>
    </row>
    <row r="19" spans="1:5" x14ac:dyDescent="0.25">
      <c r="A19" s="1"/>
      <c r="B19" s="74" t="s">
        <v>19</v>
      </c>
      <c r="C19" s="10">
        <v>15259133.541892212</v>
      </c>
      <c r="D19" s="11" t="s">
        <v>3</v>
      </c>
      <c r="E19" s="1"/>
    </row>
    <row r="20" spans="1:5" x14ac:dyDescent="0.25">
      <c r="A20" s="1"/>
      <c r="B20" s="51" t="s">
        <v>11</v>
      </c>
      <c r="C20" s="52"/>
      <c r="D20" s="19"/>
      <c r="E20" s="1"/>
    </row>
    <row r="21" spans="1:5" x14ac:dyDescent="0.25">
      <c r="A21" s="1"/>
      <c r="B21" s="53" t="s">
        <v>11</v>
      </c>
      <c r="C21" s="10">
        <v>25373500.980370563</v>
      </c>
      <c r="D21" s="11" t="s">
        <v>3</v>
      </c>
      <c r="E21" s="1"/>
    </row>
    <row r="22" spans="1:5" x14ac:dyDescent="0.25">
      <c r="A22" s="1"/>
      <c r="B22" s="51" t="s">
        <v>75</v>
      </c>
      <c r="C22" s="52"/>
      <c r="D22" s="19"/>
      <c r="E22" s="1"/>
    </row>
    <row r="23" spans="1:5" x14ac:dyDescent="0.25">
      <c r="A23" s="1"/>
      <c r="B23" s="24" t="s">
        <v>71</v>
      </c>
      <c r="C23" s="9">
        <v>708396.86530080007</v>
      </c>
      <c r="D23" s="8" t="s">
        <v>3</v>
      </c>
      <c r="E23" s="1"/>
    </row>
    <row r="24" spans="1:5" x14ac:dyDescent="0.25">
      <c r="A24" s="1"/>
      <c r="B24" s="24" t="s">
        <v>72</v>
      </c>
      <c r="C24" s="9">
        <v>0</v>
      </c>
      <c r="D24" s="8" t="s">
        <v>3</v>
      </c>
      <c r="E24" s="1"/>
    </row>
    <row r="25" spans="1:5" x14ac:dyDescent="0.25">
      <c r="A25" s="1"/>
      <c r="B25" s="24" t="s">
        <v>163</v>
      </c>
      <c r="C25" s="9">
        <v>-15669.906262379152</v>
      </c>
      <c r="D25" s="8" t="s">
        <v>3</v>
      </c>
      <c r="E25" s="1"/>
    </row>
    <row r="26" spans="1:5" x14ac:dyDescent="0.25">
      <c r="A26" s="1"/>
      <c r="B26" s="24" t="s">
        <v>164</v>
      </c>
      <c r="C26" s="9">
        <v>0</v>
      </c>
      <c r="D26" s="8" t="s">
        <v>3</v>
      </c>
      <c r="E26" s="1"/>
    </row>
    <row r="27" spans="1:5" x14ac:dyDescent="0.25">
      <c r="A27" s="1"/>
      <c r="B27" s="74" t="s">
        <v>76</v>
      </c>
      <c r="C27" s="56">
        <v>692726.95903842093</v>
      </c>
      <c r="D27" s="11" t="s">
        <v>3</v>
      </c>
      <c r="E27" s="1"/>
    </row>
    <row r="28" spans="1:5" x14ac:dyDescent="0.25">
      <c r="A28" s="1"/>
      <c r="B28" s="26" t="s">
        <v>117</v>
      </c>
      <c r="C28" s="52"/>
      <c r="D28" s="19"/>
      <c r="E28" s="1"/>
    </row>
    <row r="29" spans="1:5" x14ac:dyDescent="0.25">
      <c r="A29" s="1"/>
      <c r="B29" s="73" t="s">
        <v>118</v>
      </c>
      <c r="C29" s="10">
        <v>-2268754.458331685</v>
      </c>
      <c r="D29" s="11" t="s">
        <v>3</v>
      </c>
      <c r="E29" s="1"/>
    </row>
    <row r="30" spans="1:5" x14ac:dyDescent="0.25">
      <c r="A30" s="1"/>
      <c r="B30" s="26" t="s">
        <v>138</v>
      </c>
      <c r="C30" s="52"/>
      <c r="D30" s="19"/>
      <c r="E30" s="1"/>
    </row>
    <row r="31" spans="1:5" x14ac:dyDescent="0.25">
      <c r="A31" s="1"/>
      <c r="B31" s="73" t="s">
        <v>139</v>
      </c>
      <c r="C31" s="10">
        <v>0</v>
      </c>
      <c r="D31" s="11" t="s">
        <v>3</v>
      </c>
      <c r="E31" s="1"/>
    </row>
    <row r="32" spans="1:5" x14ac:dyDescent="0.25">
      <c r="A32" s="1"/>
      <c r="B32" s="51" t="s">
        <v>238</v>
      </c>
      <c r="C32" s="33">
        <v>39056607.022969514</v>
      </c>
      <c r="D32" s="19" t="s">
        <v>3</v>
      </c>
      <c r="E32" s="1"/>
    </row>
    <row r="33" spans="1:5" ht="30" customHeight="1" x14ac:dyDescent="0.25">
      <c r="A33" s="1"/>
      <c r="B33" s="100" t="s">
        <v>239</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lSqwE+4QD9SNyKZVfLVXOFgSMVKt/BG0tO0JvfGMI1qCWBk2/QYATZrF5ZsLGTyd5M6a2wCw9oUIFlzllKOHw==" saltValue="2amuw+EHKn32N7bB8wXlg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5401081</v>
      </c>
      <c r="H5" s="14" t="s">
        <v>3</v>
      </c>
      <c r="I5" s="1"/>
    </row>
    <row r="6" spans="1:9" x14ac:dyDescent="0.25">
      <c r="A6" s="1"/>
      <c r="B6" s="105" t="s">
        <v>37</v>
      </c>
      <c r="C6" s="106"/>
      <c r="D6" s="106"/>
      <c r="E6" s="106"/>
      <c r="F6" s="107"/>
      <c r="G6" s="22">
        <f>G5*'Fane 13. Nøgletal'!C33</f>
        <v>108021.62</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5360281.2341259997</v>
      </c>
      <c r="H10" s="14" t="s">
        <v>3</v>
      </c>
      <c r="I10" s="1"/>
    </row>
    <row r="11" spans="1:9" x14ac:dyDescent="0.25">
      <c r="A11" s="1"/>
      <c r="B11" s="108" t="s">
        <v>227</v>
      </c>
      <c r="C11" s="109"/>
      <c r="D11" s="109"/>
      <c r="E11" s="109"/>
      <c r="F11" s="110"/>
      <c r="G11" s="47">
        <v>0</v>
      </c>
      <c r="H11" s="14" t="s">
        <v>3</v>
      </c>
      <c r="I11" s="1"/>
    </row>
    <row r="12" spans="1:9" x14ac:dyDescent="0.25">
      <c r="A12" s="1"/>
      <c r="B12" s="105" t="s">
        <v>39</v>
      </c>
      <c r="C12" s="106"/>
      <c r="D12" s="106"/>
      <c r="E12" s="106"/>
      <c r="F12" s="107"/>
      <c r="G12" s="22">
        <f>(G10+G11)*'Fane 13. Nøgletal'!C33</f>
        <v>107205.62468251999</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5341852.5872430746</v>
      </c>
      <c r="H16" s="14" t="s">
        <v>3</v>
      </c>
      <c r="I16" s="1"/>
    </row>
    <row r="17" spans="1:9" x14ac:dyDescent="0.25">
      <c r="A17" s="1"/>
      <c r="B17" s="105" t="s">
        <v>100</v>
      </c>
      <c r="C17" s="106"/>
      <c r="D17" s="106"/>
      <c r="E17" s="106"/>
      <c r="F17" s="107"/>
      <c r="G17" s="47">
        <v>-10432.107727753541</v>
      </c>
      <c r="H17" s="14" t="s">
        <v>3</v>
      </c>
      <c r="I17" s="1"/>
    </row>
    <row r="18" spans="1:9" x14ac:dyDescent="0.25">
      <c r="A18" s="1"/>
      <c r="B18" s="108" t="s">
        <v>228</v>
      </c>
      <c r="C18" s="109"/>
      <c r="D18" s="109"/>
      <c r="E18" s="109"/>
      <c r="F18" s="110"/>
      <c r="G18" s="47">
        <v>0</v>
      </c>
      <c r="H18" s="14" t="s">
        <v>3</v>
      </c>
      <c r="I18" s="1"/>
    </row>
    <row r="19" spans="1:9" x14ac:dyDescent="0.25">
      <c r="A19" s="1"/>
      <c r="B19" s="105" t="s">
        <v>41</v>
      </c>
      <c r="C19" s="106"/>
      <c r="D19" s="106"/>
      <c r="E19" s="106"/>
      <c r="F19" s="107"/>
      <c r="G19" s="22">
        <f>SUM(G16:G18)*'Fane 13. Nøgletal'!C33</f>
        <v>106628.40959030642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5313091.0559067465</v>
      </c>
      <c r="H23" s="14" t="s">
        <v>3</v>
      </c>
      <c r="I23" s="1"/>
    </row>
    <row r="24" spans="1:9" x14ac:dyDescent="0.25">
      <c r="A24" s="1"/>
      <c r="B24" s="108" t="s">
        <v>229</v>
      </c>
      <c r="C24" s="109"/>
      <c r="D24" s="109"/>
      <c r="E24" s="109"/>
      <c r="F24" s="110"/>
      <c r="G24" s="47">
        <v>0</v>
      </c>
      <c r="H24" s="14" t="s">
        <v>3</v>
      </c>
      <c r="I24" s="1"/>
    </row>
    <row r="25" spans="1:9" x14ac:dyDescent="0.25">
      <c r="A25" s="1"/>
      <c r="B25" s="105" t="s">
        <v>43</v>
      </c>
      <c r="C25" s="106"/>
      <c r="D25" s="106"/>
      <c r="E25" s="106"/>
      <c r="F25" s="107"/>
      <c r="G25" s="22">
        <f>(G23+G24)*'Fane 13. Nøgletal'!C33</f>
        <v>106261.82111813493</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5270352.5514530325</v>
      </c>
      <c r="H29" s="14" t="s">
        <v>3</v>
      </c>
      <c r="I29" s="1"/>
    </row>
    <row r="30" spans="1:9" x14ac:dyDescent="0.25">
      <c r="A30" s="1"/>
      <c r="B30" s="105" t="s">
        <v>230</v>
      </c>
      <c r="C30" s="106"/>
      <c r="D30" s="106"/>
      <c r="E30" s="106"/>
      <c r="F30" s="107"/>
      <c r="G30" s="47">
        <v>2125581.2754548397</v>
      </c>
      <c r="H30" s="14" t="s">
        <v>3</v>
      </c>
      <c r="I30" s="1"/>
    </row>
    <row r="31" spans="1:9" x14ac:dyDescent="0.25">
      <c r="A31" s="1"/>
      <c r="B31" s="105" t="s">
        <v>115</v>
      </c>
      <c r="C31" s="106"/>
      <c r="D31" s="106"/>
      <c r="E31" s="106"/>
      <c r="F31" s="107"/>
      <c r="G31" s="22">
        <f>(G29+G30)*'Fane 13. Nøgletal'!C33</f>
        <v>147918.67653815745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7336440.9352042256</v>
      </c>
      <c r="H35" s="14" t="s">
        <v>3</v>
      </c>
      <c r="I35" s="1"/>
    </row>
    <row r="36" spans="1:9" x14ac:dyDescent="0.25">
      <c r="A36" s="1"/>
      <c r="B36" s="105" t="s">
        <v>231</v>
      </c>
      <c r="C36" s="106"/>
      <c r="D36" s="106"/>
      <c r="E36" s="106"/>
      <c r="F36" s="107"/>
      <c r="G36" s="47">
        <v>614297.38156407012</v>
      </c>
      <c r="H36" s="14" t="s">
        <v>3</v>
      </c>
      <c r="I36" s="1"/>
    </row>
    <row r="37" spans="1:9" x14ac:dyDescent="0.25">
      <c r="A37" s="1"/>
      <c r="B37" s="105" t="s">
        <v>123</v>
      </c>
      <c r="C37" s="106"/>
      <c r="D37" s="106"/>
      <c r="E37" s="106"/>
      <c r="F37" s="107"/>
      <c r="G37" s="22">
        <f>(G35+G36)*'Fane 13. Nøgletal'!C33</f>
        <v>159014.76633536592</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8069108.9088283423</v>
      </c>
      <c r="H41" s="14" t="s">
        <v>3</v>
      </c>
      <c r="I41" s="1"/>
    </row>
    <row r="42" spans="1:9" x14ac:dyDescent="0.25">
      <c r="A42" s="1"/>
      <c r="B42" s="105" t="s">
        <v>156</v>
      </c>
      <c r="C42" s="106"/>
      <c r="D42" s="106"/>
      <c r="E42" s="106"/>
      <c r="F42" s="107"/>
      <c r="G42" s="22">
        <v>720192.93379344011</v>
      </c>
      <c r="H42" s="14" t="s">
        <v>3</v>
      </c>
      <c r="I42" s="1"/>
    </row>
    <row r="43" spans="1:9" x14ac:dyDescent="0.25">
      <c r="A43" s="1"/>
      <c r="B43" s="105" t="s">
        <v>165</v>
      </c>
      <c r="C43" s="106"/>
      <c r="D43" s="106"/>
      <c r="E43" s="106"/>
      <c r="F43" s="107"/>
      <c r="G43" s="22">
        <f>(G41+G42)*'Fane 13. Nøgletal'!C33</f>
        <v>175786.03685243565</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8920156.9684547354</v>
      </c>
      <c r="H47" s="14" t="s">
        <v>3</v>
      </c>
      <c r="I47" s="1"/>
    </row>
    <row r="48" spans="1:9" x14ac:dyDescent="0.25">
      <c r="A48" s="1"/>
      <c r="B48" s="105" t="s">
        <v>205</v>
      </c>
      <c r="C48" s="106"/>
      <c r="D48" s="106"/>
      <c r="E48" s="106"/>
      <c r="F48" s="107"/>
      <c r="G48" s="47">
        <f>('Fane 2.1. Økonomisk ramme 2024'!C9+'Fane 2.1. Økonomisk ramme 2024'!C11+'Fane 2.1. Økonomisk ramme 2024'!C13)*(1+'Fane 13. Nøgletal'!C16)</f>
        <v>3260914.0356934397</v>
      </c>
      <c r="H48" s="14" t="s">
        <v>3</v>
      </c>
      <c r="I48" s="1"/>
    </row>
    <row r="49" spans="1:9" x14ac:dyDescent="0.25">
      <c r="A49" s="1"/>
      <c r="B49" s="105" t="s">
        <v>166</v>
      </c>
      <c r="C49" s="106"/>
      <c r="D49" s="106"/>
      <c r="E49" s="106"/>
      <c r="F49" s="107"/>
      <c r="G49" s="22">
        <f>G47*'Fane 13. Nøgletal'!C33+G48*'Fane 13. Nøgletal'!C33</f>
        <v>243621.42008296351</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12901995.51045768</v>
      </c>
      <c r="H53" s="14" t="s">
        <v>3</v>
      </c>
      <c r="I53" s="1"/>
    </row>
    <row r="54" spans="1:9" x14ac:dyDescent="0.25">
      <c r="A54" s="1"/>
      <c r="B54" s="105" t="s">
        <v>135</v>
      </c>
      <c r="C54" s="106"/>
      <c r="D54" s="106"/>
      <c r="E54" s="106"/>
      <c r="F54" s="107"/>
      <c r="G54" s="22">
        <f>(G53)*'Fane 13. Nøgletal'!C33</f>
        <v>258039.9102091536</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13665587.212748608</v>
      </c>
      <c r="H58" s="14" t="s">
        <v>3</v>
      </c>
      <c r="I58" s="1"/>
    </row>
    <row r="59" spans="1:9" x14ac:dyDescent="0.25">
      <c r="A59" s="1"/>
      <c r="B59" s="105" t="s">
        <v>146</v>
      </c>
      <c r="C59" s="106"/>
      <c r="D59" s="106"/>
      <c r="E59" s="106"/>
      <c r="F59" s="107"/>
      <c r="G59" s="22">
        <f>(G58)*'Fane 13. Nøgletal'!C33</f>
        <v>273311.74425497215</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2" t="s">
        <v>219</v>
      </c>
      <c r="C62" s="103"/>
      <c r="D62" s="103"/>
      <c r="E62" s="103"/>
      <c r="F62" s="103"/>
      <c r="G62" s="103"/>
      <c r="H62" s="104"/>
      <c r="I62" s="1"/>
    </row>
    <row r="63" spans="1:9" x14ac:dyDescent="0.25">
      <c r="A63" s="1"/>
      <c r="B63" s="105" t="s">
        <v>220</v>
      </c>
      <c r="C63" s="106"/>
      <c r="D63" s="106"/>
      <c r="E63" s="106"/>
      <c r="F63" s="107"/>
      <c r="G63" s="22">
        <f>(G58-G59)*(1+'Fane 13. Nøgletal'!C16)</f>
        <v>14474371.326347921</v>
      </c>
      <c r="H63" s="14" t="s">
        <v>3</v>
      </c>
      <c r="I63" s="1"/>
    </row>
    <row r="64" spans="1:9" x14ac:dyDescent="0.25">
      <c r="A64" s="1"/>
      <c r="B64" s="105" t="s">
        <v>221</v>
      </c>
      <c r="C64" s="106"/>
      <c r="D64" s="106"/>
      <c r="E64" s="106"/>
      <c r="F64" s="107"/>
      <c r="G64" s="22">
        <f>(G63)*'Fane 13. Nøgletal'!C33</f>
        <v>289487.42652695841</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erJ7v0uhPK7H2cDDECh+nhEJJmKfgGGhUGw+dd3+r3JjkxAhjZCi9yYAUAaqRbN8HGkQNBzf5s/+IeX1vW06XQ==" saltValue="y92E71gbD02cr/eoVMnIH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3020500</v>
      </c>
      <c r="H5" s="14" t="s">
        <v>3</v>
      </c>
      <c r="I5" s="1"/>
    </row>
    <row r="6" spans="1:9" x14ac:dyDescent="0.25">
      <c r="A6" s="1"/>
      <c r="B6" s="105" t="s">
        <v>49</v>
      </c>
      <c r="C6" s="106"/>
      <c r="D6" s="106"/>
      <c r="E6" s="106"/>
      <c r="F6" s="107"/>
      <c r="G6" s="22">
        <f>G5*'Fane 13. Nøgletal'!C21</f>
        <v>27486.550000000003</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3031024.7208150001</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27582.324959416503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3054200.5723455427</v>
      </c>
      <c r="H16" s="14" t="s">
        <v>3</v>
      </c>
      <c r="I16" s="1"/>
    </row>
    <row r="17" spans="1:9" x14ac:dyDescent="0.25">
      <c r="A17" s="1"/>
      <c r="B17" s="105" t="s">
        <v>101</v>
      </c>
      <c r="C17" s="106"/>
      <c r="D17" s="106"/>
      <c r="E17" s="106"/>
      <c r="F17" s="107"/>
      <c r="G17" s="47">
        <v>-1008464.5399294044</v>
      </c>
      <c r="H17" s="14" t="s">
        <v>3</v>
      </c>
      <c r="I17" s="1"/>
    </row>
    <row r="18" spans="1:9" x14ac:dyDescent="0.25">
      <c r="A18" s="1"/>
      <c r="B18" s="108" t="s">
        <v>58</v>
      </c>
      <c r="C18" s="109"/>
      <c r="D18" s="109"/>
      <c r="E18" s="109"/>
      <c r="F18" s="110"/>
      <c r="G18" s="47">
        <v>1249970.6287140897</v>
      </c>
      <c r="H18" s="14" t="s">
        <v>3</v>
      </c>
      <c r="I18" s="1"/>
    </row>
    <row r="19" spans="1:9" x14ac:dyDescent="0.25">
      <c r="A19" s="1"/>
      <c r="B19" s="105" t="s">
        <v>59</v>
      </c>
      <c r="C19" s="106"/>
      <c r="D19" s="106"/>
      <c r="E19" s="106"/>
      <c r="F19" s="107"/>
      <c r="G19" s="22">
        <f>(G16+G17+G18)*'Fane 13. Nøgletal'!C23</f>
        <v>28672.647951832983</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3322246.8880011099</v>
      </c>
      <c r="H23" s="14" t="s">
        <v>3</v>
      </c>
      <c r="I23" s="1"/>
    </row>
    <row r="24" spans="1:9" x14ac:dyDescent="0.25">
      <c r="A24" s="1"/>
      <c r="B24" s="108" t="s">
        <v>62</v>
      </c>
      <c r="C24" s="109"/>
      <c r="D24" s="109"/>
      <c r="E24" s="109"/>
      <c r="F24" s="110"/>
      <c r="G24" s="47">
        <v>3736826.079918175</v>
      </c>
      <c r="H24" s="14" t="s">
        <v>3</v>
      </c>
      <c r="I24" s="1"/>
    </row>
    <row r="25" spans="1:9" x14ac:dyDescent="0.25">
      <c r="A25" s="1"/>
      <c r="B25" s="105" t="s">
        <v>63</v>
      </c>
      <c r="C25" s="106"/>
      <c r="D25" s="106"/>
      <c r="E25" s="106"/>
      <c r="F25" s="107"/>
      <c r="G25" s="22">
        <f>G23*'Fane 13. Nøgletal'!C23+G24*'Fane 13. Nøgletal'!C24</f>
        <v>135029.40859528581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7008516.890747752</v>
      </c>
      <c r="H29" s="14" t="s">
        <v>3</v>
      </c>
      <c r="I29" s="1"/>
    </row>
    <row r="30" spans="1:9" x14ac:dyDescent="0.25">
      <c r="A30" s="1"/>
      <c r="B30" s="105" t="s">
        <v>113</v>
      </c>
      <c r="C30" s="106"/>
      <c r="D30" s="106"/>
      <c r="E30" s="106"/>
      <c r="F30" s="107"/>
      <c r="G30" s="47">
        <v>173568.81898439999</v>
      </c>
      <c r="H30" s="14" t="s">
        <v>3</v>
      </c>
      <c r="I30" s="1"/>
    </row>
    <row r="31" spans="1:9" x14ac:dyDescent="0.25">
      <c r="A31" s="1"/>
      <c r="B31" s="105" t="s">
        <v>120</v>
      </c>
      <c r="C31" s="106"/>
      <c r="D31" s="106"/>
      <c r="E31" s="106"/>
      <c r="F31" s="107"/>
      <c r="G31" s="22">
        <f>(G29+G30)*'Fane 13. Nøgletal'!C25</f>
        <v>197507.35701763417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7069790.2086176341</v>
      </c>
      <c r="H35" s="14" t="s">
        <v>3</v>
      </c>
      <c r="I35" s="1"/>
    </row>
    <row r="36" spans="1:9" x14ac:dyDescent="0.25">
      <c r="A36" s="1"/>
      <c r="B36" s="105" t="s">
        <v>129</v>
      </c>
      <c r="C36" s="106"/>
      <c r="D36" s="106"/>
      <c r="E36" s="106"/>
      <c r="F36" s="107"/>
      <c r="G36" s="47">
        <v>3185.9234668500003</v>
      </c>
      <c r="H36" s="14" t="s">
        <v>3</v>
      </c>
      <c r="I36" s="1"/>
    </row>
    <row r="37" spans="1:9" x14ac:dyDescent="0.25">
      <c r="A37" s="1"/>
      <c r="B37" s="105" t="s">
        <v>125</v>
      </c>
      <c r="C37" s="106"/>
      <c r="D37" s="106"/>
      <c r="E37" s="106"/>
      <c r="F37" s="107"/>
      <c r="G37" s="22">
        <f>G35*'Fane 13. Nøgletal'!C25+G36*'Fane 13. Nøgletal'!C26</f>
        <v>194466.3824042943</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7123384.6967688054</v>
      </c>
      <c r="H41" s="14" t="s">
        <v>3</v>
      </c>
      <c r="I41" s="1"/>
    </row>
    <row r="42" spans="1:9" x14ac:dyDescent="0.25">
      <c r="A42" s="1"/>
      <c r="B42" s="105" t="s">
        <v>168</v>
      </c>
      <c r="C42" s="106"/>
      <c r="D42" s="106"/>
      <c r="E42" s="106"/>
      <c r="F42" s="107"/>
      <c r="G42" s="9">
        <v>0</v>
      </c>
      <c r="H42" s="14" t="s">
        <v>3</v>
      </c>
      <c r="I42" s="1"/>
    </row>
    <row r="43" spans="1:9" x14ac:dyDescent="0.25">
      <c r="A43" s="1"/>
      <c r="B43" s="105" t="s">
        <v>65</v>
      </c>
      <c r="C43" s="106"/>
      <c r="D43" s="106"/>
      <c r="E43" s="106"/>
      <c r="F43" s="107"/>
      <c r="G43" s="58">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7376977.1919737756</v>
      </c>
      <c r="H47" s="14" t="s">
        <v>3</v>
      </c>
      <c r="I47" s="1"/>
    </row>
    <row r="48" spans="1:9" x14ac:dyDescent="0.25">
      <c r="A48" s="1"/>
      <c r="B48" s="105" t="s">
        <v>209</v>
      </c>
      <c r="C48" s="106"/>
      <c r="D48" s="106"/>
      <c r="E48" s="106"/>
      <c r="F48" s="107"/>
      <c r="G48" s="47">
        <v>0</v>
      </c>
      <c r="H48" s="14" t="s">
        <v>3</v>
      </c>
      <c r="I48" s="1"/>
    </row>
    <row r="49" spans="1:9" x14ac:dyDescent="0.25">
      <c r="A49" s="1"/>
      <c r="B49" s="105" t="s">
        <v>210</v>
      </c>
      <c r="C49" s="106"/>
      <c r="D49" s="106"/>
      <c r="E49" s="106"/>
      <c r="F49" s="107"/>
      <c r="G49" s="47">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7973036.949085257</v>
      </c>
      <c r="H53" s="14" t="s">
        <v>3</v>
      </c>
      <c r="I53" s="1"/>
    </row>
    <row r="54" spans="1:9" x14ac:dyDescent="0.25">
      <c r="A54" s="1"/>
      <c r="B54" s="105" t="s">
        <v>132</v>
      </c>
      <c r="C54" s="106"/>
      <c r="D54" s="106"/>
      <c r="E54" s="106"/>
      <c r="F54" s="107"/>
      <c r="G54" s="47">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8617258.3345713448</v>
      </c>
      <c r="H58" s="14" t="s">
        <v>3</v>
      </c>
      <c r="I58" s="1"/>
    </row>
    <row r="59" spans="1:9" x14ac:dyDescent="0.25">
      <c r="A59" s="1"/>
      <c r="B59" s="105" t="s">
        <v>149</v>
      </c>
      <c r="C59" s="106"/>
      <c r="D59" s="106"/>
      <c r="E59" s="106"/>
      <c r="F59" s="107"/>
      <c r="G59" s="47">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2" t="s">
        <v>222</v>
      </c>
      <c r="C62" s="103"/>
      <c r="D62" s="103"/>
      <c r="E62" s="103"/>
      <c r="F62" s="103"/>
      <c r="G62" s="103"/>
      <c r="H62" s="104"/>
      <c r="I62" s="1"/>
    </row>
    <row r="63" spans="1:9" x14ac:dyDescent="0.25">
      <c r="A63" s="1"/>
      <c r="B63" s="105" t="s">
        <v>223</v>
      </c>
      <c r="C63" s="106"/>
      <c r="D63" s="106"/>
      <c r="E63" s="106"/>
      <c r="F63" s="107"/>
      <c r="G63" s="22">
        <f>(G58-G59)*(1+'Fane 13. Nøgletal'!C16)</f>
        <v>9313532.808004709</v>
      </c>
      <c r="H63" s="14" t="s">
        <v>3</v>
      </c>
      <c r="I63" s="1"/>
    </row>
    <row r="64" spans="1:9" x14ac:dyDescent="0.25">
      <c r="A64" s="1"/>
      <c r="B64" s="105" t="s">
        <v>224</v>
      </c>
      <c r="C64" s="106"/>
      <c r="D64" s="106"/>
      <c r="E64" s="106"/>
      <c r="F64" s="107"/>
      <c r="G64" s="47">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m/MX43AzT3cJ+aPmvNBtrGLF0AbrmVSw8BpsUvbIu6ocE/GnaJNp1cdO6t3fOXAp4L7HuEn3pvPJqYaKR86OUA==" saltValue="9xeqeLlgpiccWKmALU5Ql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64">
        <v>2.120236593262425E-3</v>
      </c>
      <c r="H9" s="1"/>
    </row>
    <row r="10" spans="1:8" x14ac:dyDescent="0.25">
      <c r="A10" s="1"/>
      <c r="B10" s="51"/>
      <c r="C10" s="52"/>
      <c r="D10" s="52"/>
      <c r="E10" s="52"/>
      <c r="F10" s="52"/>
      <c r="G10" s="19"/>
      <c r="H10" s="1"/>
    </row>
    <row r="11" spans="1:8" ht="15" customHeight="1" x14ac:dyDescent="0.25">
      <c r="A11" s="1"/>
      <c r="B11" s="114" t="s">
        <v>235</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s7z5eDgYPfUiJifG/L25XFyFMnJlld+Bi9nmQvz6BA4P9JHUKIdLyHg2aT2ICsEAErWZYRpo06t9mxCbGXQcg==" saltValue="fBBwaeB+XCwqI3Fbbr6f7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2023-11-30T13:07:31Z</dcterms:modified>
</cp:coreProperties>
</file>