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codeName="Denne_projektmappe" defaultThemeVersion="124226"/>
  <mc:AlternateContent xmlns:mc="http://schemas.openxmlformats.org/markup-compatibility/2006">
    <mc:Choice Requires="x15">
      <x15ac:absPath xmlns:x15ac="http://schemas.microsoft.com/office/spreadsheetml/2010/11/ac" url="E:\VAND\Sagsbehandling\Spildevand\Hillerød Spildevand AS (S039)\ØR2025\"/>
    </mc:Choice>
  </mc:AlternateContent>
  <xr:revisionPtr revIDLastSave="0" documentId="13_ncr:1_{20FA736A-03E2-47DC-8243-DFF73058C273}" xr6:coauthVersionLast="36" xr6:coauthVersionMax="36" xr10:uidLastSave="{00000000-0000-0000-0000-000000000000}"/>
  <bookViews>
    <workbookView xWindow="3120" yWindow="990" windowWidth="12750" windowHeight="4620" tabRatio="872" xr2:uid="{00000000-000D-0000-FFFF-FFFF00000000}"/>
  </bookViews>
  <sheets>
    <sheet name="1. Forside" sheetId="1" r:id="rId1"/>
    <sheet name="Fane 2.1. Økonomisk ramme 2025" sheetId="2" r:id="rId2"/>
    <sheet name="Fane 2.2. Økonomisk ramme 2026" sheetId="15" r:id="rId3"/>
    <sheet name="Fane 2.3. Økonomisk ramme 2027" sheetId="22" r:id="rId4"/>
    <sheet name="Fane 2.4. Økonomisk ramme 2028" sheetId="23" r:id="rId5"/>
    <sheet name="Fane 3. Omkostninger i ØR2024" sheetId="27" r:id="rId6"/>
    <sheet name="Fane 4.1. Gen. krav - drift" sheetId="30" r:id="rId7"/>
    <sheet name="Fane 4.2. Gen. krav - anlæg" sheetId="36" r:id="rId8"/>
    <sheet name="Fane 5. Individuelt eff. krav" sheetId="31" r:id="rId9"/>
    <sheet name="Fane 6. Ikke-påvirkelige omk." sheetId="19" r:id="rId10"/>
    <sheet name="Fane 7. Kontrol af ØR2023" sheetId="43" r:id="rId11"/>
    <sheet name="Fane 8. Skattesagen" sheetId="41" r:id="rId12"/>
    <sheet name="Fane 9. Korrektion af ØR2023" sheetId="40" r:id="rId13"/>
    <sheet name="Fane 10. Anlægsprojekter (§ 19)" sheetId="11" r:id="rId14"/>
    <sheet name="Fane 11.1. Varige tillæg" sheetId="37" r:id="rId15"/>
    <sheet name="Fane 11.2. Engangstillæg" sheetId="39" r:id="rId16"/>
    <sheet name="Fane 12. Periodevise driftsomk." sheetId="20" r:id="rId17"/>
    <sheet name="Fane 13. Tilknyttet virksomhed" sheetId="29" r:id="rId18"/>
    <sheet name="Fane 14. Bortfald" sheetId="21" r:id="rId19"/>
    <sheet name="Fane 15. Nøgletal" sheetId="26" r:id="rId20"/>
  </sheets>
  <definedNames>
    <definedName name="Fane21">'Fane 2.1. Økonomisk ramme 2025'!$B$8:$D$39</definedName>
    <definedName name="Fane21total">'Fane 2.1. Økonomisk ramme 2025'!$C$39</definedName>
    <definedName name="Fane22">'Fane 2.2. Økonomisk ramme 2026'!$B$8:$D$23</definedName>
    <definedName name="Fane22total">'Fane 2.2. Økonomisk ramme 2026'!$C$23</definedName>
    <definedName name="Fane23">'Fane 2.3. Økonomisk ramme 2027'!$B$8:$D$23</definedName>
    <definedName name="Fane23total">'Fane 2.3. Økonomisk ramme 2027'!$C$23</definedName>
    <definedName name="Fane24">'Fane 2.4. Økonomisk ramme 2028'!$B$8:$D$21</definedName>
    <definedName name="Fane24total">'Fane 2.4. Økonomisk ramme 2028'!$C$21</definedName>
    <definedName name="Fane3total">'Fane 3. Omkostninger i ØR2024'!$C$39</definedName>
    <definedName name="Tabel_Fane_13">'Fane 13. Tilknyttet virksomhed'!$B$8:$F$12</definedName>
    <definedName name="Tabel_Fane_14">'Fane 14. Bortfald'!$B$8:$F$12</definedName>
    <definedName name="Tabel_Fane_2_1">'Fane 2.1. Økonomisk ramme 2025'!$B$8:$D$39</definedName>
    <definedName name="Tabel_Fane_2_2">'Fane 2.2. Økonomisk ramme 2026'!$B$8:$D$23</definedName>
    <definedName name="Tabel_Fane_2_3">'Fane 2.3. Økonomisk ramme 2027'!$B$8:$D$23</definedName>
    <definedName name="Tabel_Fane_2_4">'Fane 2.4. Økonomisk ramme 2028'!$B$8:$D$21</definedName>
    <definedName name="Tabel_Fane_3">'Fane 3. Omkostninger i ØR2024'!$B$8:$D$40</definedName>
    <definedName name="ØR25total">'Fane 2.1. Økonomisk ramme 2025'!$C$39</definedName>
    <definedName name="ØR26total">'Fane 2.2. Økonomisk ramme 2026'!$C$23</definedName>
    <definedName name="ØR27total">'Fane 2.3. Økonomisk ramme 2027'!$C$23</definedName>
  </definedNames>
  <calcPr calcId="191029"/>
</workbook>
</file>

<file path=xl/calcChain.xml><?xml version="1.0" encoding="utf-8"?>
<calcChain xmlns="http://schemas.openxmlformats.org/spreadsheetml/2006/main">
  <c r="C23" i="43" l="1"/>
  <c r="C27" i="43" s="1"/>
  <c r="C32" i="2" s="1"/>
  <c r="F10" i="11" l="1"/>
  <c r="C11" i="29"/>
  <c r="C10" i="36" l="1"/>
  <c r="C10" i="30"/>
  <c r="C20" i="23" l="1"/>
  <c r="C22" i="22"/>
  <c r="C22" i="15"/>
  <c r="C36" i="2"/>
  <c r="C11" i="30" l="1"/>
  <c r="C15" i="30" s="1"/>
  <c r="C29" i="20" l="1"/>
  <c r="C28" i="20"/>
  <c r="C23" i="20"/>
  <c r="C22" i="20"/>
  <c r="C24" i="20" l="1"/>
  <c r="C30" i="20"/>
  <c r="C18" i="41"/>
  <c r="C16" i="20" l="1"/>
  <c r="C10" i="20"/>
  <c r="C31" i="43" l="1"/>
  <c r="C33" i="43" l="1"/>
  <c r="C20" i="22" l="1"/>
  <c r="C20" i="15"/>
  <c r="C12" i="29" l="1"/>
  <c r="E11" i="29"/>
  <c r="E12" i="29" s="1"/>
  <c r="E13" i="39"/>
  <c r="E14" i="39" s="1"/>
  <c r="C13" i="39"/>
  <c r="C14" i="39" s="1"/>
  <c r="J11" i="11"/>
  <c r="H11" i="11"/>
  <c r="C10" i="37" s="1"/>
  <c r="C18" i="19"/>
  <c r="C19" i="19" s="1"/>
  <c r="C16" i="23" l="1"/>
  <c r="C16" i="15"/>
  <c r="C16" i="22"/>
  <c r="F11" i="11"/>
  <c r="E10" i="37" s="1"/>
  <c r="C11" i="21" l="1"/>
  <c r="C12" i="21" s="1"/>
  <c r="C12" i="2" l="1"/>
  <c r="C15" i="2"/>
  <c r="C14" i="2"/>
  <c r="C26" i="2" l="1"/>
  <c r="C28" i="2" s="1"/>
  <c r="C27" i="2" l="1"/>
  <c r="C29" i="2" s="1"/>
  <c r="C30" i="2" l="1"/>
  <c r="C18" i="22" l="1"/>
  <c r="C22" i="2"/>
  <c r="C18" i="23" l="1"/>
  <c r="C15" i="40"/>
  <c r="C11" i="40" l="1"/>
  <c r="C17" i="20" l="1"/>
  <c r="C18" i="20" s="1"/>
  <c r="C11" i="20"/>
  <c r="C12" i="20" s="1"/>
  <c r="C18" i="15" l="1"/>
  <c r="C24" i="2"/>
  <c r="C16" i="40"/>
  <c r="C34" i="2" s="1"/>
  <c r="E11" i="21" l="1"/>
  <c r="E12" i="21" s="1"/>
  <c r="C13" i="2" l="1"/>
  <c r="C22" i="37"/>
  <c r="C23" i="37" s="1"/>
  <c r="C10" i="2" l="1"/>
  <c r="C16" i="30" l="1"/>
  <c r="C17" i="30" s="1"/>
  <c r="C21" i="30" l="1"/>
  <c r="C22" i="30" s="1"/>
  <c r="C18" i="2"/>
  <c r="E22" i="37"/>
  <c r="E23" i="37" s="1"/>
  <c r="C12" i="15" l="1"/>
  <c r="C26" i="30"/>
  <c r="C27" i="30" s="1"/>
  <c r="C11" i="2" l="1"/>
  <c r="C16" i="36" s="1"/>
  <c r="C11" i="36" l="1"/>
  <c r="C15" i="36" s="1"/>
  <c r="C17" i="36" s="1"/>
  <c r="C19" i="2" l="1"/>
  <c r="C9" i="2"/>
  <c r="C16" i="2" s="1"/>
  <c r="C21" i="36" l="1"/>
  <c r="C22" i="36" s="1"/>
  <c r="C17" i="2"/>
  <c r="C20" i="2" l="1"/>
  <c r="C39" i="2" s="1"/>
  <c r="C13" i="15"/>
  <c r="C26" i="36"/>
  <c r="C27" i="36" l="1"/>
  <c r="C13" i="22" s="1"/>
  <c r="C31" i="36" l="1"/>
  <c r="C32" i="36" s="1"/>
  <c r="C13" i="23" s="1"/>
  <c r="C31" i="30"/>
  <c r="C32" i="30" s="1"/>
  <c r="C9" i="15"/>
  <c r="C10" i="15" s="1"/>
  <c r="C11" i="15" l="1"/>
  <c r="C12" i="22"/>
  <c r="C12" i="23"/>
  <c r="C14" i="15" l="1"/>
  <c r="C23" i="15" s="1"/>
  <c r="C9" i="22" l="1"/>
  <c r="C10" i="22" s="1"/>
  <c r="C11" i="22" s="1"/>
  <c r="C14" i="22" s="1"/>
  <c r="C23" i="22" s="1"/>
  <c r="C9" i="23" l="1"/>
  <c r="C10" i="23" s="1"/>
  <c r="C11" i="23" l="1"/>
  <c r="C14" i="23" s="1"/>
  <c r="C21" i="23" s="1"/>
</calcChain>
</file>

<file path=xl/sharedStrings.xml><?xml version="1.0" encoding="utf-8"?>
<sst xmlns="http://schemas.openxmlformats.org/spreadsheetml/2006/main" count="568" uniqueCount="246">
  <si>
    <t>Beskrivelse af investeringen</t>
  </si>
  <si>
    <t>Std. levetid (år)</t>
  </si>
  <si>
    <t>Afskrivning</t>
  </si>
  <si>
    <t>kr.</t>
  </si>
  <si>
    <t>Bilag A</t>
  </si>
  <si>
    <t>Indholdsfortegnelse</t>
  </si>
  <si>
    <t>Fane 2.1</t>
  </si>
  <si>
    <t>Fane 5</t>
  </si>
  <si>
    <t>Fane 8</t>
  </si>
  <si>
    <t>Fane 9</t>
  </si>
  <si>
    <t>Individuelt effektiviseringskrav</t>
  </si>
  <si>
    <t>Driftsomkostninger</t>
  </si>
  <si>
    <t>Ikke-påvirkelige omkostninger</t>
  </si>
  <si>
    <t>Oversigt over den økonomiske ramme</t>
  </si>
  <si>
    <t>Prisudvikling</t>
  </si>
  <si>
    <t>Fane 12</t>
  </si>
  <si>
    <t>Fane 2.2</t>
  </si>
  <si>
    <t>Beskrivelse af tillæg</t>
  </si>
  <si>
    <t>Beskrivelse af bortfald eller nedsættelse</t>
  </si>
  <si>
    <t>Prisudvikling i kr.</t>
  </si>
  <si>
    <t>år</t>
  </si>
  <si>
    <t>Omkostninger i alt</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</si>
  <si>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</si>
  <si>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</si>
  <si>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</si>
  <si>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</si>
  <si>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</si>
  <si>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</si>
  <si>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</si>
  <si>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</si>
  <si>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</si>
  <si>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</si>
  <si>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</si>
  <si>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Fane 13</t>
  </si>
  <si>
    <t>Fane 14</t>
  </si>
  <si>
    <t>Nye tillæg - Drift</t>
  </si>
  <si>
    <t>Nye tillæg - Anlæg</t>
  </si>
  <si>
    <t>Nye varige tillæg</t>
  </si>
  <si>
    <t>Engangstillæg - Anlæg</t>
  </si>
  <si>
    <t>Fane 7</t>
  </si>
  <si>
    <t>Varige tillæg</t>
  </si>
  <si>
    <t>Engangstillæg</t>
  </si>
  <si>
    <t>Periodevise driftsomkostninger</t>
  </si>
  <si>
    <t>Engangstillæg i alt</t>
  </si>
  <si>
    <t>Fane 5: Individuelt effektiviseringskrav</t>
  </si>
  <si>
    <t>Generelt effektiviseringskrav på drift</t>
  </si>
  <si>
    <t>Generelt effektiviseringskrav på anlæg</t>
  </si>
  <si>
    <t>Tillæg til tilbagebetaling af vejbidrag</t>
  </si>
  <si>
    <t>Difference (Korrektion)</t>
  </si>
  <si>
    <t>Antal år i næste reguleringsperiode</t>
  </si>
  <si>
    <t>Generelt effektiviseringskrav til anlægsomkostningerne</t>
  </si>
  <si>
    <t>Generelt effektiviseringskrav til driftsomkostningerne</t>
  </si>
  <si>
    <t>Nøgletal</t>
  </si>
  <si>
    <t>Fane 4.1</t>
  </si>
  <si>
    <t>Fane 4.2</t>
  </si>
  <si>
    <t>Fane 6</t>
  </si>
  <si>
    <t>Fane 4.1: Generelt effektiviseringskrav til driftsomkostningerne</t>
  </si>
  <si>
    <t>Fane 4.2: Generelt effektiviseringskrav til anlægsomkostningerne</t>
  </si>
  <si>
    <t>Fane 6: Ikke-påvirkelige omkostninger</t>
  </si>
  <si>
    <t>Generelt effektiviseringskrav til brug for driftsomkostninger</t>
  </si>
  <si>
    <t>Tillæg til medfinansieringsprojekter godkendt under prisloftsbekendtgørelsen</t>
  </si>
  <si>
    <t>Fane 3</t>
  </si>
  <si>
    <t>Tidligere tilknyttet virksomhed - Drift</t>
  </si>
  <si>
    <t>Tidligere tilknyttet virksomhed - Anlæg</t>
  </si>
  <si>
    <t>Videreførte omkostninger fra den økonomiske ramme for 2023</t>
  </si>
  <si>
    <t>Økonomisk ramme for 2024</t>
  </si>
  <si>
    <t>Tilknyttet virksomhed under hovedvirksomheden</t>
  </si>
  <si>
    <t>Beskrivelse af tilknyttet virksomhed</t>
  </si>
  <si>
    <t>Tilknyttet virksomhed</t>
  </si>
  <si>
    <t>Kontrol med overholdelse af økonomiske rammer</t>
  </si>
  <si>
    <t>Kontrol med de økonomiske rammer til indregning</t>
  </si>
  <si>
    <t>Økonomisk ramme for 2025</t>
  </si>
  <si>
    <t>Tillæg til den økonomiske ramme for 2025</t>
  </si>
  <si>
    <t>Periodevise driftsomkostninger til de økonomiske rammer for 2025</t>
  </si>
  <si>
    <t>Periodevise driftsomkostninger i alt i 2025-prisniveau</t>
  </si>
  <si>
    <t xml:space="preserve">Indtægter fra tilbagebetalt skat eller sambeskatningsbidrag som følge af skattesagen </t>
  </si>
  <si>
    <t xml:space="preserve">Nedsættelse af økonomisk ramme som følge af skattesagen </t>
  </si>
  <si>
    <t>Tidligere opgjorte over/underdækninger</t>
  </si>
  <si>
    <t>Allerede indregnet fradrag i jeres økonomiske rammer</t>
  </si>
  <si>
    <t>Kontrol med overholdelse af den økonomiske ramme</t>
  </si>
  <si>
    <t>Videreførte omkostninger fra den økonomiske ramme for 2025</t>
  </si>
  <si>
    <t>Økonomisk ramme for 2026</t>
  </si>
  <si>
    <t>Generelt effektiviseringskrav til anlægsomkostninger i de vejledende økonomiske rammer for 2026</t>
  </si>
  <si>
    <t>Tillæg til den økonomiske ramme for 2026</t>
  </si>
  <si>
    <t>Periodevise driftsomkostninger til de økonomiske rammer for 2026</t>
  </si>
  <si>
    <t>Periodevise driftsomkostninger i alt i 2026-prisniveau</t>
  </si>
  <si>
    <t>Anlægsprojekter igangsat senest den 1. marts 2016</t>
  </si>
  <si>
    <t>Anlægsprojekter igangsat senest 1. marts 2016</t>
  </si>
  <si>
    <t>Base for driftsomkostninger til de økonomiske rammer for 2024</t>
  </si>
  <si>
    <t xml:space="preserve">Engangstillæg - Drift </t>
  </si>
  <si>
    <t>Videreførte omkostninger fra den økonomiske ramme for 2024</t>
  </si>
  <si>
    <t xml:space="preserve">Anlægsprojekter (§ 19) </t>
  </si>
  <si>
    <t>Effektiviseringskrav (generelt og individuelt) - Drift</t>
  </si>
  <si>
    <t>Effektiviseringskrav (generelt og individuelt) - Anlæg</t>
  </si>
  <si>
    <t xml:space="preserve">kr. </t>
  </si>
  <si>
    <t>Drifts-omkostninger</t>
  </si>
  <si>
    <t>Anskaffelses-pris</t>
  </si>
  <si>
    <t>Fane 10</t>
  </si>
  <si>
    <t>Fane 11.1</t>
  </si>
  <si>
    <t>Fane 11.2</t>
  </si>
  <si>
    <t>Fane 15</t>
  </si>
  <si>
    <t>Fane 8: Indtægter til tilbagebetaling som følge af skattesagen</t>
  </si>
  <si>
    <t>Fradrag i de økonomiske ramme i årene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</si>
  <si>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</si>
  <si>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</si>
  <si>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</si>
  <si>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</si>
  <si>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</si>
  <si>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</si>
  <si>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</si>
  <si>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</si>
  <si>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</si>
  <si>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Skattesagen</t>
  </si>
  <si>
    <t>Fane 10: Anlægsprojekter igangsat senest den 1. marts 2016</t>
  </si>
  <si>
    <t>Fane 11.1: Varige tillæg</t>
  </si>
  <si>
    <t>Fane 11.2: Engangstillæg</t>
  </si>
  <si>
    <t>Fane 12: Periodevise driftsomkostninger givet under prisloftsbekendtgørelsen</t>
  </si>
  <si>
    <t>Fane 13: Tilknyttet virksomhed under hovedvirksomheden</t>
  </si>
  <si>
    <t>Fane 14: Bortfald eller nedsættelse af omkostninger til mål, medfinansiering eller udvidelse</t>
  </si>
  <si>
    <t>Fane 15: Nøgletal</t>
  </si>
  <si>
    <t>Tilbagebetaling af indtægter som følge af skattesagen (jf. § 18 stk. 6)</t>
  </si>
  <si>
    <t xml:space="preserve">Note: Opgørelsen af over/underdækningen er taget fra jeres tidligere fremsendte økonomiske rammer og statusmeddelelser. I kan derfor ikke komme med høringssvar til denne opgørelse. </t>
  </si>
  <si>
    <t>Prisudvikling til brug for ØR2024-2025</t>
  </si>
  <si>
    <t>Generelt effektiviseringskrav til driftsomkostninger i de økonomiske rammer for 2024</t>
  </si>
  <si>
    <t>Generelt effektiviseringskrav til driftsomkostninger i de økonomiske rammer for 2025</t>
  </si>
  <si>
    <t>Nye varige driftsomkostninger til de økonomiske rammer for 2024</t>
  </si>
  <si>
    <t>Nye varige anlægsomkostninger i de økonomiske rammer for 2024</t>
  </si>
  <si>
    <t>Samlet økonomisk ramme for 2025</t>
  </si>
  <si>
    <t>Korrektion af den økonomiske ramme for 2022</t>
  </si>
  <si>
    <t>Videreførte omkostninger fra den økonomiske ramme for 2026</t>
  </si>
  <si>
    <t>Økonomisk ramme for 2027</t>
  </si>
  <si>
    <t>Generelt effektiviseringskrav til driftsomkostningerne i ØR24</t>
  </si>
  <si>
    <t>Generelt effektiviseringskrav til driftsomkostningerne i ØR25</t>
  </si>
  <si>
    <t>Base for driftsomkostninger til de økonomiske rammer for 2025</t>
  </si>
  <si>
    <t>Base for anlægsomkostninger til de økonomiske rammer for 2024</t>
  </si>
  <si>
    <t>Generelt effektiviseringskrav til anlægsomkostningerne i ØR24</t>
  </si>
  <si>
    <t>Base for anlægsomkostninger til de økonomiske rammer for 2025</t>
  </si>
  <si>
    <t>Generelt effektiviseringskrav til anlægsomkostningerne i ØR25</t>
  </si>
  <si>
    <t>Generelt effektiviseringskrav til anlægsomkostninger i de vejledende økonomiske rammer for 2027</t>
  </si>
  <si>
    <t>Nye tillæg i alt i 2023-prisniveau</t>
  </si>
  <si>
    <t>Periodevise driftsomkostninger til de økonomiske rammer for 2027</t>
  </si>
  <si>
    <t>Periodevise driftsomkostninger i alt i 2027-prisniveau</t>
  </si>
  <si>
    <t>Tilknyttet virksomhed under hovedvirksomheden i alt (2023-prisniveau)</t>
  </si>
  <si>
    <t>Bortfald eller nedsættelse i alt i 2023-prisniveau</t>
  </si>
  <si>
    <t>Vejledende</t>
  </si>
  <si>
    <t>Generelt effektiviseringskrav til driftsomkostninger i de vejledende økonomiske rammer for 2026</t>
  </si>
  <si>
    <t>Generelt effektiviseringskrav til anlægsomkostninger i de økonomiske rammer for 2025</t>
  </si>
  <si>
    <t>Generelt effektiviseringskrav til anlægsomkostninger i de økonomiske rammer for 2024</t>
  </si>
  <si>
    <t>Tillæg til den økonomiske ramme for 2027</t>
  </si>
  <si>
    <t>Vejledende økonomisk ramme for 2027</t>
  </si>
  <si>
    <t xml:space="preserve"> </t>
  </si>
  <si>
    <t>Vejledende økonomisk ramme for 2028</t>
  </si>
  <si>
    <t>Omkostninger i ØR2024</t>
  </si>
  <si>
    <t>Kontrol af den økonomiske ramme for 2023</t>
  </si>
  <si>
    <t>Korrektion af den økonomiske ramme for 2023</t>
  </si>
  <si>
    <t>Fane 2.1: Samlet økonomisk ramme for 2025</t>
  </si>
  <si>
    <t>Fane 2.2: Samlet økonomisk ramme for 2026</t>
  </si>
  <si>
    <t>Fane 2.3: Samlet økonomisk ramme for 2027</t>
  </si>
  <si>
    <t>Fane 2.4: Samlet økonomisk ramme for 2028</t>
  </si>
  <si>
    <t>Videreførte omkostninger fra den økonomiske ramme for 2027</t>
  </si>
  <si>
    <t>Økonomisk ramme for 2028</t>
  </si>
  <si>
    <t>Fane 3: Videreførte omkostninger fra den økonomiske ramme for 2024</t>
  </si>
  <si>
    <t>Oversigt over den økonomiske ramme for 2024</t>
  </si>
  <si>
    <t>Generelt effektiviseringskrav til anlægsomkostninger i de vejledende økonomiske rammer for 2028</t>
  </si>
  <si>
    <t>Individuelt effektiviseringskrav til de økonomiske rammer for 2025-2028</t>
  </si>
  <si>
    <t>Faktiske ikke-påvirkelige omkostninger i 2023</t>
  </si>
  <si>
    <t>Omkostninger i 2023</t>
  </si>
  <si>
    <t>Ikke-påvirkelige omkostninger i 2023-prisniveau</t>
  </si>
  <si>
    <t>Ikke-påvirkelige omkostninger i 2025-prisniveau</t>
  </si>
  <si>
    <t>Tillæg til den økonomiske ramme for 2028</t>
  </si>
  <si>
    <t>Fane 9: Korrektioner af den økonomiske ramme for 2023</t>
  </si>
  <si>
    <t>Korrektion af periodevise driftsomkostninger i de økonomiske rammer for 2023</t>
  </si>
  <si>
    <t>Faktisk periodevis driftsomkostning i 2023</t>
  </si>
  <si>
    <t>Faktisk omkostning til medfinansiering af klimatilpasningsprojekter i 2023</t>
  </si>
  <si>
    <t>Korrektioner af den økonomiske ramme for 2023 i alt</t>
  </si>
  <si>
    <t>Nye tillæg i alt i 2024-prisniveau</t>
  </si>
  <si>
    <t>Engangstillæg til den økonomiske ramme for 2025</t>
  </si>
  <si>
    <t>Engangstillæg i alt i 2023-prisniveau</t>
  </si>
  <si>
    <t>Engangstillæg i alt i 2025-prisniveau</t>
  </si>
  <si>
    <t>Periodevise driftsomkostninger i alt i 2023-prisniveau</t>
  </si>
  <si>
    <t>Periodevise driftsomkostninger til de økonomiske rammer for 2028</t>
  </si>
  <si>
    <t>Periodevise driftsomkostninger i alt i 2028-prisniveau</t>
  </si>
  <si>
    <t>Tilknyttet virksomhed under hovedvirksomheden i alt (2024-prisniveau)</t>
  </si>
  <si>
    <t>Bortfald eller nedsættelse fra og med de økonomiske rammer for 2025</t>
  </si>
  <si>
    <t>Nye varige driftsomkostninger til de økonomiske rammer for 2025</t>
  </si>
  <si>
    <t>Nye varige anlægsomkostninger i de økonomiske rammer for 2025</t>
  </si>
  <si>
    <t>Vejledende økonomisk ramme for 2026</t>
  </si>
  <si>
    <t>Generelt effektiviseringskrav til driftsomkostninger i de vejledende økonomiske rammer for 2027</t>
  </si>
  <si>
    <t>Generelt effektiviseringskrav til driftsomkostninger i de vejledende økonomiske rammer for 2028</t>
  </si>
  <si>
    <t>Base for driftsomkostninger til de vejledende økonomiske rammer for 2026</t>
  </si>
  <si>
    <t>Base for driftsomkostninger til de vejledende økonomiske rammer for 2027</t>
  </si>
  <si>
    <t>Base for driftsomkostninger til de vejledende økonomiske rammer for 2028</t>
  </si>
  <si>
    <t>Base for anlægsomkostninger til de vejledende økonomiske rammer for 2026</t>
  </si>
  <si>
    <t>Base for anlægsomkostninger til de vejledende økonomiske rammer for 2027</t>
  </si>
  <si>
    <t>Vejledende generelt effektiviseringskrav til driftsomkostningerne i ØR27</t>
  </si>
  <si>
    <t>Vejledende generelt effektiviseringskrav til driftsomkostningerne i ØR28</t>
  </si>
  <si>
    <t>Vejledende generelt effektiviseringskrav til driftsomkostningerne i ØR26</t>
  </si>
  <si>
    <t>Vejledende generelt effektiviseringskrav til anlægsomkostningerne i ØR26</t>
  </si>
  <si>
    <t>Vejledende generelt effektiviseringskrav til anlægsomkostningerne i ØR27</t>
  </si>
  <si>
    <t>Vejledende generelt effektiviseringskrav til anlægsomkostningerne i ØR28</t>
  </si>
  <si>
    <t>Base for anlægsomkostninger til de vejledende økonomiske rammer for 2028</t>
  </si>
  <si>
    <t>Fane 7: Kontrol med overholdelse af den økonomiske ramme for 2023</t>
  </si>
  <si>
    <t>Indregnet fradrag i økonomisk ramme for 2024</t>
  </si>
  <si>
    <t>Indregnet fradrag i økonomisk ramme for 2025</t>
  </si>
  <si>
    <t>Over/underdækning i 2022</t>
  </si>
  <si>
    <t>Kontrol med overholdelse af den økonomiske ramme for 2023</t>
  </si>
  <si>
    <t>Indtægtsramme i den økonomiske ramme for 2023</t>
  </si>
  <si>
    <t>Faktiske indtægter i 2023</t>
  </si>
  <si>
    <t>Resultat af kontrol med overholdelse af den økonomiske rammer for 2023</t>
  </si>
  <si>
    <t>Korrektion af fradrag i den økonomiske ramme for 2025</t>
  </si>
  <si>
    <t>Tillæg/fradrag i den økonomiske ramme for 2025</t>
  </si>
  <si>
    <t>Til indregning i de økonomiske rammer for 2026-2027</t>
  </si>
  <si>
    <t xml:space="preserve">Note: Opgørelsen af overholdelse af den økonomiske ramme for 2022 taget fra jeres tidligere fremsendte afgørelse. I kan derfor ikke komme med høringssvar til denne opgørelse. Positive værdier er udtryk for at rammerne er overholdt (underdækning) og negative værdier er udtryk for at rammerne ikke er overholdt (overdækning). </t>
  </si>
  <si>
    <t>Justering af den økonomiske ramme</t>
  </si>
  <si>
    <t>Justering af den økonomiske ramme for stigende el-omkostninger</t>
  </si>
  <si>
    <t>Generelt effektiviseringskrav til brug for anlægsomkostninger i ØR2024-2025</t>
  </si>
  <si>
    <t>Bortfald eller nedsættelse i alt i 2025-prisniveau</t>
  </si>
  <si>
    <t>Tidligere givet tillæg til planlagte oprensninger i 2023, jf. indmeldte oprensningplan</t>
  </si>
  <si>
    <t>Tillæg til medfinansieringsprojekter indregnet i den økonomiske ramme for 2023 på baggrund af budgettere omkostninger</t>
  </si>
  <si>
    <t>Korrektion af tidligere godkendte omkostninger til medfinansieringsprojekter</t>
  </si>
  <si>
    <t xml:space="preserve">Note: Denne opgørelse er taget fra jeres afgørelse om økonomiske rammer for 2024-2025.
I kan derfor ikke komme med høringssvar til denne opgørelse. </t>
  </si>
  <si>
    <t>Omkostninger til § 19-tillæg i alt - 2023 prisniveau</t>
  </si>
  <si>
    <t>Ingen tilknyttet virksomhed under hovedvirksomheden</t>
  </si>
  <si>
    <t>Ingen bortfald eller nedsættelse</t>
  </si>
  <si>
    <t>Ingen anlægsprojekter</t>
  </si>
  <si>
    <t xml:space="preserve">Note: Denne opgørelse er taget fra jeres økonomiske ramme for 2024. 
I kan derfor ikke komme med høringssvar til denne opgørelse. </t>
  </si>
  <si>
    <t>Prisudvikling til brug for nye omkostninger i ØR2025</t>
  </si>
  <si>
    <t>Generelt effektiviseringskrav til brug for nye anlægsomkostninger i ØR2025</t>
  </si>
  <si>
    <t>Til statusmeddelelse for 2025</t>
  </si>
  <si>
    <t>Spildevandsafgift</t>
  </si>
  <si>
    <t>Afgift til Forsyningssekretariatet</t>
  </si>
  <si>
    <t>Køb af ydelser og produkter fra andre vandselskaber reguleret af vandsektorloven</t>
  </si>
  <si>
    <t>Ejendomsskatter</t>
  </si>
  <si>
    <t>Erstatninger</t>
  </si>
  <si>
    <t>Gebyr til Miljøstyrelsen</t>
  </si>
  <si>
    <t>Øvrige afgifter</t>
  </si>
  <si>
    <t>Diverse projekter vedrørende strømpeforing</t>
  </si>
  <si>
    <t>Projekt 2501311 Sparebassin HCR</t>
  </si>
  <si>
    <t>Projekt 2502200 HCR Syd 2023</t>
  </si>
  <si>
    <t>Projekt 2506000 Trykledning Nr. Herlev renseanlæg - HCR Syd</t>
  </si>
  <si>
    <t>Projekt 2506300 Trykledning Uvelse renseanlæg - HCR Syd</t>
  </si>
  <si>
    <t>Projekt 2509507 Højtoftevej 2b - omlægning af ledning</t>
  </si>
  <si>
    <t>Projekt 2505440 Byggemodning Cirkelbuen</t>
  </si>
  <si>
    <t>Projekt 2505450 Byggemodning Albuen</t>
  </si>
  <si>
    <t>Tilslutninger Spildevand 2023</t>
  </si>
  <si>
    <t>Ingen engangstillæg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</si>
</sst>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 #,##0.00_ ;_ * \-#,##0.00_ ;_ * &quot;-&quot;??_ ;_ @_ "/>
    <numFmt numFmtId="166" formatCode="_ * #,##0_ ;_ * \-#,##0_ ;_ * &quot;-&quot;??_ ;_ @_ "/>
  </numFmts>
  <fonts count="15"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color theme="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5"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30">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0" fontId="8" fillId="8" borderId="1" xfId="4" applyNumberFormat="1" applyFont="1" applyFill="1" applyBorder="1" applyProtection="1"/>
    <xf numFmtId="166" fontId="8" fillId="8" borderId="1" xfId="1" applyNumberFormat="1" applyFont="1" applyFill="1" applyBorder="1" applyProtection="1"/>
    <xf numFmtId="49" fontId="8" fillId="8" borderId="2" xfId="0" applyNumberFormat="1" applyFont="1" applyFill="1" applyBorder="1" applyAlignment="1" applyProtection="1"/>
    <xf numFmtId="10" fontId="8" fillId="8" borderId="1" xfId="4" applyNumberFormat="1" applyFont="1" applyFill="1" applyBorder="1" applyAlignment="1" applyProtection="1"/>
    <xf numFmtId="0" fontId="8" fillId="8" borderId="2" xfId="0" quotePrefix="1" applyFont="1" applyFill="1" applyBorder="1" applyAlignment="1" applyProtection="1">
      <alignment wrapText="1"/>
    </xf>
    <xf numFmtId="0" fontId="8" fillId="4" borderId="2" xfId="0" applyFont="1" applyFill="1" applyBorder="1" applyAlignment="1" applyProtection="1"/>
    <xf numFmtId="0" fontId="7" fillId="3" borderId="6" xfId="0" applyFont="1" applyFill="1" applyBorder="1" applyAlignment="1" applyProtection="1"/>
    <xf numFmtId="0" fontId="8" fillId="8" borderId="2" xfId="0" applyFont="1" applyFill="1" applyBorder="1" applyAlignment="1" applyProtection="1">
      <alignment wrapText="1"/>
    </xf>
    <xf numFmtId="0" fontId="7" fillId="3" borderId="1" xfId="0" applyFont="1" applyFill="1" applyBorder="1" applyAlignment="1" applyProtection="1"/>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xf numFmtId="0" fontId="8" fillId="8" borderId="1" xfId="0" applyFont="1" applyFill="1" applyBorder="1" applyAlignment="1" applyProtection="1"/>
    <xf numFmtId="0" fontId="2" fillId="2" borderId="0" xfId="0" applyFont="1" applyFill="1" applyAlignment="1" applyProtection="1">
      <alignment vertical="center" wrapText="1"/>
    </xf>
    <xf numFmtId="0" fontId="8" fillId="8" borderId="3" xfId="0" applyFont="1" applyFill="1" applyBorder="1" applyProtection="1"/>
    <xf numFmtId="0" fontId="8" fillId="8" borderId="2" xfId="0" applyFont="1" applyFill="1" applyBorder="1" applyAlignment="1" applyProtection="1"/>
    <xf numFmtId="3" fontId="8" fillId="0" borderId="1" xfId="0" applyNumberFormat="1" applyFont="1" applyFill="1" applyBorder="1" applyProtection="1"/>
    <xf numFmtId="3" fontId="14" fillId="3" borderId="1" xfId="0" applyNumberFormat="1" applyFont="1" applyFill="1" applyBorder="1" applyProtection="1"/>
    <xf numFmtId="0" fontId="14" fillId="3" borderId="1" xfId="0" applyFont="1" applyFill="1" applyBorder="1" applyAlignment="1" applyProtection="1">
      <alignment wrapText="1"/>
    </xf>
    <xf numFmtId="0" fontId="7" fillId="3" borderId="1" xfId="0" applyFont="1" applyFill="1" applyBorder="1" applyAlignment="1" applyProtection="1">
      <alignment horizontal="left"/>
    </xf>
    <xf numFmtId="166" fontId="8" fillId="0" borderId="1" xfId="1" applyNumberFormat="1" applyFont="1" applyFill="1" applyBorder="1" applyProtection="1"/>
    <xf numFmtId="3" fontId="0" fillId="2" borderId="0" xfId="0" applyNumberFormat="1" applyFill="1" applyProtection="1"/>
    <xf numFmtId="0" fontId="0" fillId="0" borderId="0" xfId="0" applyFill="1" applyProtection="1"/>
    <xf numFmtId="3" fontId="7" fillId="3" borderId="2" xfId="0" applyNumberFormat="1" applyFont="1" applyFill="1" applyBorder="1" applyAlignment="1" applyProtection="1"/>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3" fontId="8" fillId="2" borderId="0" xfId="0" applyNumberFormat="1" applyFont="1" applyFill="1" applyBorder="1" applyProtection="1"/>
    <xf numFmtId="0" fontId="7" fillId="2" borderId="0" xfId="0" applyFont="1" applyFill="1" applyBorder="1" applyAlignment="1" applyProtection="1"/>
    <xf numFmtId="3" fontId="7" fillId="2" borderId="0" xfId="0" applyNumberFormat="1" applyFont="1" applyFill="1" applyBorder="1" applyProtection="1"/>
    <xf numFmtId="0" fontId="7" fillId="2" borderId="0" xfId="0" applyFont="1" applyFill="1" applyBorder="1" applyProtection="1"/>
    <xf numFmtId="0" fontId="0" fillId="8" borderId="0" xfId="0" applyFill="1" applyProtection="1"/>
    <xf numFmtId="3" fontId="8" fillId="4" borderId="1" xfId="0" applyNumberFormat="1" applyFont="1" applyFill="1" applyBorder="1" applyAlignment="1" applyProtection="1">
      <alignment horizontal="right"/>
    </xf>
    <xf numFmtId="3" fontId="8" fillId="8" borderId="1" xfId="0" applyNumberFormat="1" applyFont="1" applyFill="1" applyBorder="1" applyAlignment="1" applyProtection="1">
      <alignment horizontal="right"/>
    </xf>
    <xf numFmtId="0" fontId="8" fillId="0" borderId="1" xfId="0" applyFont="1" applyFill="1" applyBorder="1" applyAlignment="1" applyProtection="1"/>
    <xf numFmtId="10" fontId="8" fillId="8" borderId="3" xfId="4" applyNumberFormat="1" applyFont="1" applyFill="1" applyBorder="1" applyProtection="1"/>
    <xf numFmtId="10" fontId="8" fillId="8" borderId="3" xfId="4" applyNumberFormat="1" applyFont="1" applyFill="1" applyBorder="1" applyAlignment="1" applyProtection="1"/>
    <xf numFmtId="3" fontId="8" fillId="4" borderId="1" xfId="0" quotePrefix="1" applyNumberFormat="1" applyFont="1" applyFill="1" applyBorder="1" applyProtection="1"/>
    <xf numFmtId="164" fontId="0" fillId="2" borderId="0" xfId="0" applyNumberFormat="1" applyFill="1" applyProtection="1"/>
    <xf numFmtId="0" fontId="8" fillId="8" borderId="2" xfId="0" quotePrefix="1" applyFont="1" applyFill="1" applyBorder="1" applyAlignment="1" applyProtection="1">
      <alignment horizontal="left" wrapText="1"/>
    </xf>
    <xf numFmtId="0" fontId="8" fillId="8" borderId="2"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0" fontId="2" fillId="2" borderId="0" xfId="0" applyFont="1" applyFill="1" applyBorder="1" applyAlignment="1" applyProtection="1">
      <alignment wrapText="1"/>
    </xf>
    <xf numFmtId="49" fontId="8" fillId="8" borderId="2" xfId="0" applyNumberFormat="1" applyFont="1" applyFill="1" applyBorder="1" applyAlignment="1" applyProtection="1">
      <alignment wrapText="1"/>
    </xf>
    <xf numFmtId="1" fontId="8" fillId="8" borderId="2" xfId="1" quotePrefix="1" applyNumberFormat="1" applyFont="1" applyFill="1" applyBorder="1" applyAlignment="1" applyProtection="1">
      <alignment horizontal="right" wrapText="1"/>
    </xf>
    <xf numFmtId="0" fontId="8" fillId="8" borderId="2" xfId="0" applyFont="1" applyFill="1" applyBorder="1" applyAlignment="1" applyProtection="1">
      <alignment vertical="top" wrapText="1"/>
    </xf>
    <xf numFmtId="3" fontId="8" fillId="8" borderId="1" xfId="0" applyNumberFormat="1" applyFont="1" applyFill="1" applyBorder="1" applyAlignment="1" applyProtection="1">
      <alignment vertical="top" wrapText="1"/>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1" fillId="9" borderId="11"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12" xfId="2" applyFont="1" applyFill="1" applyBorder="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3" borderId="8" xfId="2" applyFont="1" applyFill="1" applyBorder="1" applyAlignment="1" applyProtection="1">
      <alignment horizontal="center"/>
    </xf>
    <xf numFmtId="0" fontId="1" fillId="3" borderId="9" xfId="2" applyFont="1" applyFill="1" applyBorder="1" applyAlignment="1" applyProtection="1">
      <alignment horizontal="center"/>
    </xf>
    <xf numFmtId="0" fontId="1" fillId="3" borderId="10"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8" fillId="0" borderId="9" xfId="0" applyFont="1" applyFill="1" applyBorder="1" applyAlignment="1" applyProtection="1">
      <alignment vertical="center" wrapText="1"/>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Border="1" applyAlignment="1" applyProtection="1">
      <alignment horizontal="center" wrapText="1"/>
    </xf>
    <xf numFmtId="0" fontId="8" fillId="8" borderId="8" xfId="0" applyFont="1" applyFill="1" applyBorder="1" applyAlignment="1" applyProtection="1">
      <alignment horizontal="left" vertical="top"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12" xfId="0" applyFont="1" applyFill="1" applyBorder="1" applyAlignment="1" applyProtection="1">
      <alignment horizontal="left" vertical="top"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650816"/>
      <color rgb="FFF2DCDB"/>
      <color rgb="FFB6DDF3"/>
      <color rgb="FFD9D9D9"/>
      <color rgb="FF212121"/>
      <color rgb="FF4C4C4C"/>
      <color rgb="FFBFBFBF"/>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H50"/>
  <sheetViews>
    <sheetView showGridLines="0" tabSelected="1" zoomScaleNormal="100" workbookViewId="0"/>
  </sheetViews>
  <sheetFormatPr defaultColWidth="0" defaultRowHeight="15" zeroHeight="1" x14ac:dyDescent="0.25"/>
  <cols>
    <col min="1" max="1" width="11" style="2" customWidth="1"/>
    <col min="2" max="3" width="9.140625" style="2" customWidth="1"/>
    <col min="4" max="4" width="11.7109375" style="2" customWidth="1"/>
    <col min="5" max="5" width="11.5703125" style="2" customWidth="1"/>
    <col min="6" max="6" width="9.140625" style="2" customWidth="1"/>
    <col min="7" max="7" width="21.5703125" style="2" customWidth="1"/>
    <col min="8" max="8" width="0" style="2" hidden="1" customWidth="1"/>
    <col min="9"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
      <c r="C3" s="1"/>
      <c r="D3" s="1"/>
      <c r="E3" s="1"/>
      <c r="F3" s="1"/>
      <c r="G3" s="1"/>
    </row>
    <row r="4" spans="1:7" ht="15" customHeight="1" x14ac:dyDescent="0.25">
      <c r="A4" s="1"/>
      <c r="B4" s="1"/>
      <c r="C4" s="1"/>
      <c r="D4" s="1"/>
      <c r="E4" s="1"/>
      <c r="F4" s="1"/>
      <c r="G4" s="1"/>
    </row>
    <row r="5" spans="1:7" x14ac:dyDescent="0.25">
      <c r="A5" s="1"/>
      <c r="B5" s="1"/>
      <c r="C5" s="1"/>
      <c r="D5" s="1"/>
      <c r="E5" s="1"/>
      <c r="F5" s="1"/>
      <c r="G5" s="1"/>
    </row>
    <row r="6" spans="1:7" ht="15" customHeight="1" x14ac:dyDescent="0.25">
      <c r="A6" s="1"/>
      <c r="B6" s="3"/>
      <c r="C6" s="95" t="s">
        <v>4</v>
      </c>
      <c r="D6" s="95"/>
      <c r="E6" s="95"/>
      <c r="F6" s="95"/>
      <c r="G6" s="3"/>
    </row>
    <row r="7" spans="1:7" ht="15" customHeight="1" x14ac:dyDescent="0.25">
      <c r="A7" s="1"/>
      <c r="B7" s="3"/>
      <c r="C7" s="95"/>
      <c r="D7" s="95"/>
      <c r="E7" s="95"/>
      <c r="F7" s="95"/>
      <c r="G7" s="3"/>
    </row>
    <row r="8" spans="1:7" ht="15.75" x14ac:dyDescent="0.25">
      <c r="A8" s="1"/>
      <c r="B8" s="4"/>
      <c r="C8" s="100" t="s">
        <v>228</v>
      </c>
      <c r="D8" s="100"/>
      <c r="E8" s="100"/>
      <c r="F8" s="100"/>
      <c r="G8" s="4"/>
    </row>
    <row r="9" spans="1:7" x14ac:dyDescent="0.25">
      <c r="A9" s="1"/>
      <c r="B9" s="5"/>
      <c r="C9" s="5"/>
      <c r="D9" s="5"/>
      <c r="E9" s="5"/>
      <c r="F9" s="5"/>
      <c r="G9" s="5"/>
    </row>
    <row r="10" spans="1:7" x14ac:dyDescent="0.25">
      <c r="A10" s="1"/>
      <c r="B10" s="5"/>
      <c r="C10" s="5"/>
      <c r="D10" s="5"/>
      <c r="E10" s="5"/>
      <c r="F10" s="5"/>
      <c r="G10" s="5"/>
    </row>
    <row r="11" spans="1:7" x14ac:dyDescent="0.25">
      <c r="A11" s="1"/>
      <c r="B11" s="5"/>
      <c r="C11" s="99" t="s">
        <v>5</v>
      </c>
      <c r="D11" s="99"/>
      <c r="E11" s="99"/>
      <c r="F11" s="99"/>
      <c r="G11" s="5"/>
    </row>
    <row r="12" spans="1:7" x14ac:dyDescent="0.25">
      <c r="A12" s="1"/>
      <c r="B12" s="1"/>
      <c r="C12" s="1"/>
      <c r="D12" s="1"/>
      <c r="E12" s="1"/>
      <c r="F12" s="1"/>
      <c r="G12" s="5"/>
    </row>
    <row r="13" spans="1:7" x14ac:dyDescent="0.25">
      <c r="A13" s="1"/>
      <c r="B13" s="6" t="s">
        <v>6</v>
      </c>
      <c r="C13" s="101" t="s">
        <v>127</v>
      </c>
      <c r="D13" s="102"/>
      <c r="E13" s="102"/>
      <c r="F13" s="103"/>
      <c r="G13" s="5"/>
    </row>
    <row r="14" spans="1:7" x14ac:dyDescent="0.25">
      <c r="A14" s="1"/>
      <c r="B14" s="6" t="s">
        <v>16</v>
      </c>
      <c r="C14" s="92" t="s">
        <v>186</v>
      </c>
      <c r="D14" s="93"/>
      <c r="E14" s="93"/>
      <c r="F14" s="94"/>
      <c r="G14" s="5"/>
    </row>
    <row r="15" spans="1:7" x14ac:dyDescent="0.25">
      <c r="A15" s="1"/>
      <c r="B15" s="6" t="s">
        <v>30</v>
      </c>
      <c r="C15" s="92" t="s">
        <v>149</v>
      </c>
      <c r="D15" s="93"/>
      <c r="E15" s="93"/>
      <c r="F15" s="94"/>
      <c r="G15" s="5"/>
    </row>
    <row r="16" spans="1:7" x14ac:dyDescent="0.25">
      <c r="A16" s="1"/>
      <c r="B16" s="6" t="s">
        <v>31</v>
      </c>
      <c r="C16" s="92" t="s">
        <v>151</v>
      </c>
      <c r="D16" s="93"/>
      <c r="E16" s="93"/>
      <c r="F16" s="94"/>
      <c r="G16" s="5"/>
    </row>
    <row r="17" spans="1:8" x14ac:dyDescent="0.25">
      <c r="A17" s="1"/>
      <c r="B17" s="6" t="s">
        <v>61</v>
      </c>
      <c r="C17" s="92" t="s">
        <v>152</v>
      </c>
      <c r="D17" s="93"/>
      <c r="E17" s="93"/>
      <c r="F17" s="94"/>
      <c r="G17" s="5"/>
    </row>
    <row r="18" spans="1:8" x14ac:dyDescent="0.25">
      <c r="A18" s="1"/>
      <c r="B18" s="6" t="s">
        <v>53</v>
      </c>
      <c r="C18" s="89" t="s">
        <v>45</v>
      </c>
      <c r="D18" s="90"/>
      <c r="E18" s="90"/>
      <c r="F18" s="91"/>
      <c r="G18" s="5"/>
    </row>
    <row r="19" spans="1:8" x14ac:dyDescent="0.25">
      <c r="A19" s="1"/>
      <c r="B19" s="6" t="s">
        <v>54</v>
      </c>
      <c r="C19" s="89" t="s">
        <v>46</v>
      </c>
      <c r="D19" s="90"/>
      <c r="E19" s="90"/>
      <c r="F19" s="91"/>
      <c r="G19" s="5"/>
    </row>
    <row r="20" spans="1:8" x14ac:dyDescent="0.25">
      <c r="A20" s="1"/>
      <c r="B20" s="6" t="s">
        <v>7</v>
      </c>
      <c r="C20" s="89" t="s">
        <v>10</v>
      </c>
      <c r="D20" s="90"/>
      <c r="E20" s="90"/>
      <c r="F20" s="91"/>
      <c r="G20" s="5"/>
    </row>
    <row r="21" spans="1:8" x14ac:dyDescent="0.25">
      <c r="A21" s="1"/>
      <c r="B21" s="6" t="s">
        <v>55</v>
      </c>
      <c r="C21" s="96" t="s">
        <v>12</v>
      </c>
      <c r="D21" s="97"/>
      <c r="E21" s="97"/>
      <c r="F21" s="98"/>
      <c r="G21" s="5"/>
    </row>
    <row r="22" spans="1:8" x14ac:dyDescent="0.25">
      <c r="A22" s="1"/>
      <c r="B22" s="6" t="s">
        <v>39</v>
      </c>
      <c r="C22" s="83" t="s">
        <v>153</v>
      </c>
      <c r="D22" s="84"/>
      <c r="E22" s="84"/>
      <c r="F22" s="85"/>
      <c r="G22" s="5"/>
    </row>
    <row r="23" spans="1:8" x14ac:dyDescent="0.25">
      <c r="A23" s="1"/>
      <c r="B23" s="6" t="s">
        <v>8</v>
      </c>
      <c r="C23" s="83" t="s">
        <v>112</v>
      </c>
      <c r="D23" s="84"/>
      <c r="E23" s="84"/>
      <c r="F23" s="85"/>
      <c r="G23" s="5"/>
    </row>
    <row r="24" spans="1:8" x14ac:dyDescent="0.25">
      <c r="A24" s="1"/>
      <c r="B24" s="6" t="s">
        <v>9</v>
      </c>
      <c r="C24" s="83" t="s">
        <v>154</v>
      </c>
      <c r="D24" s="84"/>
      <c r="E24" s="84"/>
      <c r="F24" s="85"/>
      <c r="G24" s="5"/>
    </row>
    <row r="25" spans="1:8" x14ac:dyDescent="0.25">
      <c r="A25" s="1"/>
      <c r="B25" s="6" t="s">
        <v>97</v>
      </c>
      <c r="C25" s="83" t="s">
        <v>91</v>
      </c>
      <c r="D25" s="84"/>
      <c r="E25" s="84"/>
      <c r="F25" s="85"/>
      <c r="G25" s="1"/>
    </row>
    <row r="26" spans="1:8" x14ac:dyDescent="0.25">
      <c r="A26" s="1"/>
      <c r="B26" s="6" t="s">
        <v>98</v>
      </c>
      <c r="C26" s="83" t="s">
        <v>40</v>
      </c>
      <c r="D26" s="84"/>
      <c r="E26" s="84"/>
      <c r="F26" s="85"/>
      <c r="G26" s="1"/>
    </row>
    <row r="27" spans="1:8" x14ac:dyDescent="0.25">
      <c r="A27" s="1"/>
      <c r="B27" s="6" t="s">
        <v>99</v>
      </c>
      <c r="C27" s="83" t="s">
        <v>41</v>
      </c>
      <c r="D27" s="84"/>
      <c r="E27" s="84"/>
      <c r="F27" s="85"/>
      <c r="G27" s="1"/>
    </row>
    <row r="28" spans="1:8" x14ac:dyDescent="0.25">
      <c r="A28" s="1"/>
      <c r="B28" s="6" t="s">
        <v>15</v>
      </c>
      <c r="C28" s="83" t="s">
        <v>42</v>
      </c>
      <c r="D28" s="84"/>
      <c r="E28" s="84"/>
      <c r="F28" s="85"/>
      <c r="G28" s="1"/>
      <c r="H28" s="2" t="s">
        <v>150</v>
      </c>
    </row>
    <row r="29" spans="1:8" x14ac:dyDescent="0.25">
      <c r="A29" s="1"/>
      <c r="B29" s="6" t="s">
        <v>33</v>
      </c>
      <c r="C29" s="83" t="s">
        <v>68</v>
      </c>
      <c r="D29" s="84"/>
      <c r="E29" s="84"/>
      <c r="F29" s="85"/>
      <c r="G29" s="1"/>
    </row>
    <row r="30" spans="1:8" x14ac:dyDescent="0.25">
      <c r="A30" s="1"/>
      <c r="B30" s="6" t="s">
        <v>34</v>
      </c>
      <c r="C30" s="83" t="s">
        <v>32</v>
      </c>
      <c r="D30" s="84"/>
      <c r="E30" s="84"/>
      <c r="F30" s="85"/>
      <c r="G30" s="1"/>
    </row>
    <row r="31" spans="1:8" x14ac:dyDescent="0.25">
      <c r="A31" s="1"/>
      <c r="B31" s="6" t="s">
        <v>100</v>
      </c>
      <c r="C31" s="86" t="s">
        <v>52</v>
      </c>
      <c r="D31" s="87"/>
      <c r="E31" s="87"/>
      <c r="F31" s="88"/>
      <c r="G31" s="1"/>
    </row>
    <row r="32" spans="1:8"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hidden="1" x14ac:dyDescent="0.25">
      <c r="A50" s="44"/>
      <c r="B50" s="44"/>
      <c r="C50" s="44"/>
      <c r="D50" s="44"/>
      <c r="E50" s="44"/>
      <c r="F50" s="44"/>
      <c r="G50" s="44"/>
    </row>
  </sheetData>
  <sheetProtection algorithmName="SHA-512" hashValue="oKQeanIbiWRJ2oi5Xm0YlipMgThzcagjYS2tofr1p08fRBFxCiB3OSATOKphXdW3WV29SXYgEiUJ3z0HYarVag==" saltValue="8NANfAIHQdsNx8kd8I6/uA==" spinCount="100000" sheet="1" objects="1" scenarios="1"/>
  <mergeCells count="22">
    <mergeCell ref="C14:F14"/>
    <mergeCell ref="C6:F7"/>
    <mergeCell ref="C21:F21"/>
    <mergeCell ref="C22:F22"/>
    <mergeCell ref="C11:F11"/>
    <mergeCell ref="C8:F8"/>
    <mergeCell ref="C15:F15"/>
    <mergeCell ref="C16:F16"/>
    <mergeCell ref="C19:F19"/>
    <mergeCell ref="C13:F13"/>
    <mergeCell ref="C17:F17"/>
    <mergeCell ref="C20:F20"/>
    <mergeCell ref="C30:F30"/>
    <mergeCell ref="C31:F31"/>
    <mergeCell ref="C18:F18"/>
    <mergeCell ref="C25:F25"/>
    <mergeCell ref="C26:F26"/>
    <mergeCell ref="C29:F29"/>
    <mergeCell ref="C27:F27"/>
    <mergeCell ref="C28:F28"/>
    <mergeCell ref="C24:F24"/>
    <mergeCell ref="C23:F23"/>
  </mergeCells>
  <hyperlinks>
    <hyperlink ref="C14:F14" location="'Fane 2.2. Økonomisk ramme 2026'!A1" display="Vejledende økonomisk ramme for 2026" xr:uid="{00000000-0004-0000-0000-000000000000}"/>
    <hyperlink ref="C26:F26" location="'Fane 11.1. Varige tillæg'!A1" display="Varige tillæg" xr:uid="{00000000-0004-0000-0000-000001000000}"/>
    <hyperlink ref="C29:F29" location="'Fane 13. Tilknyttet virksomhed'!A1" display="Tilknyttet virksomhed" xr:uid="{00000000-0004-0000-0000-000002000000}"/>
    <hyperlink ref="C30:F30" location="'Fane 14.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22:F22" location="'Fane 7. Kontrol af ØR2023'!A1" display="Kontrol af den økonomiske ramme for 2023" xr:uid="{00000000-0004-0000-0000-000007000000}"/>
    <hyperlink ref="C25:F25" location="'Fane 10. Anlægsprojekter (§ 19)'!A1" display="Anlægsprojekter (§ 19) " xr:uid="{00000000-0004-0000-0000-000008000000}"/>
    <hyperlink ref="C31:F31" location="'Fane 15. Nøgletal'!A1" display="Nøgletal" xr:uid="{00000000-0004-0000-0000-000009000000}"/>
    <hyperlink ref="C17:F17" location="'Fane 3. Omkostninger i ØR2024'!A1" display="Omkostninger i ØR2024" xr:uid="{00000000-0004-0000-0000-00000A000000}"/>
    <hyperlink ref="C27:F27" location="'Fane 11.2. Engangstillæg'!A1" display="Engangstillæg" xr:uid="{00000000-0004-0000-0000-00000B000000}"/>
    <hyperlink ref="C28:F28" location="'Fane 12. Periodevise driftsomk.'!A1" display="Periodevise driftsomkostninger" xr:uid="{00000000-0004-0000-0000-00000C000000}"/>
    <hyperlink ref="C24:F24" location="'Fane 9. Korrektion af ØR2023'!A1" display="Korrektion af den økonomiske ramme for 2023" xr:uid="{00000000-0004-0000-0000-00000D000000}"/>
    <hyperlink ref="C21:F21" location="'Fane 6. Ikke-påvirkelige omk.'!A1" display="Ikke-påvirkelige omkostninger" xr:uid="{00000000-0004-0000-0000-00000E000000}"/>
    <hyperlink ref="C18:F18" location="'Fane 4.1. Gen. krav - drift'!A1" display="Generelt effektiviseringskrav på drift" xr:uid="{00000000-0004-0000-0000-00000F000000}"/>
    <hyperlink ref="C20:F20" location="'Fane 5. Individuelt eff. krav'!A1" display="Individuelt effektiviseringskrav" xr:uid="{00000000-0004-0000-0000-000010000000}"/>
    <hyperlink ref="C19:F19" location="'Fane 4.2. Gen. krav - anlæg'!A1" display="Generelt effektiviseringskrav på anlæg" xr:uid="{00000000-0004-0000-0000-000011000000}"/>
    <hyperlink ref="C23:F23" location="'Fane 8. Skattesagen'!A1" display="Skattesagen" xr:uid="{00000000-0004-0000-0000-000012000000}"/>
  </hyperlinks>
  <pageMargins left="0.71875"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E56"/>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58</v>
      </c>
      <c r="C3" s="104"/>
      <c r="D3" s="104"/>
      <c r="E3" s="1"/>
    </row>
    <row r="4" spans="1:5" ht="15" customHeight="1" x14ac:dyDescent="0.25">
      <c r="A4" s="1"/>
      <c r="B4" s="104"/>
      <c r="C4" s="104"/>
      <c r="D4" s="10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108" t="s">
        <v>165</v>
      </c>
      <c r="C8" s="109"/>
      <c r="D8" s="110"/>
      <c r="E8" s="1"/>
    </row>
    <row r="9" spans="1:5" ht="15" customHeight="1" x14ac:dyDescent="0.25">
      <c r="A9" s="1"/>
      <c r="B9" s="27" t="s">
        <v>28</v>
      </c>
      <c r="C9" s="67" t="s">
        <v>166</v>
      </c>
      <c r="D9" s="11"/>
      <c r="E9" s="1"/>
    </row>
    <row r="10" spans="1:5" ht="15" customHeight="1" x14ac:dyDescent="0.25">
      <c r="A10" s="1"/>
      <c r="B10" s="72" t="s">
        <v>229</v>
      </c>
      <c r="C10" s="73">
        <v>1103498</v>
      </c>
      <c r="D10" s="14" t="s">
        <v>3</v>
      </c>
      <c r="E10" s="1"/>
    </row>
    <row r="11" spans="1:5" ht="15" customHeight="1" x14ac:dyDescent="0.25">
      <c r="A11" s="1"/>
      <c r="B11" s="72" t="s">
        <v>230</v>
      </c>
      <c r="C11" s="73">
        <v>96156</v>
      </c>
      <c r="D11" s="14" t="s">
        <v>3</v>
      </c>
      <c r="E11" s="1"/>
    </row>
    <row r="12" spans="1:5" ht="25.5" x14ac:dyDescent="0.25">
      <c r="A12" s="1"/>
      <c r="B12" s="72" t="s">
        <v>231</v>
      </c>
      <c r="C12" s="73">
        <v>2128970.58</v>
      </c>
      <c r="D12" s="14" t="s">
        <v>3</v>
      </c>
      <c r="E12" s="1"/>
    </row>
    <row r="13" spans="1:5" x14ac:dyDescent="0.25">
      <c r="A13" s="1"/>
      <c r="B13" s="72" t="s">
        <v>232</v>
      </c>
      <c r="C13" s="73">
        <v>522004.44</v>
      </c>
      <c r="D13" s="14" t="s">
        <v>3</v>
      </c>
      <c r="E13" s="1"/>
    </row>
    <row r="14" spans="1:5" x14ac:dyDescent="0.25">
      <c r="A14" s="1"/>
      <c r="B14" s="72" t="s">
        <v>233</v>
      </c>
      <c r="C14" s="73">
        <v>129608.56</v>
      </c>
      <c r="D14" s="14" t="s">
        <v>3</v>
      </c>
      <c r="E14" s="1"/>
    </row>
    <row r="15" spans="1:5" x14ac:dyDescent="0.25">
      <c r="A15" s="1"/>
      <c r="B15" s="72" t="s">
        <v>234</v>
      </c>
      <c r="C15" s="73">
        <v>16560.23</v>
      </c>
      <c r="D15" s="14" t="s">
        <v>3</v>
      </c>
      <c r="E15" s="1"/>
    </row>
    <row r="16" spans="1:5" x14ac:dyDescent="0.25">
      <c r="A16" s="1"/>
      <c r="B16" s="72" t="s">
        <v>235</v>
      </c>
      <c r="C16" s="73">
        <v>37611</v>
      </c>
      <c r="D16" s="14" t="s">
        <v>3</v>
      </c>
      <c r="E16" s="1"/>
    </row>
    <row r="17" spans="1:5" x14ac:dyDescent="0.25">
      <c r="A17" s="1"/>
      <c r="B17" s="72"/>
      <c r="C17" s="73"/>
      <c r="D17" s="14" t="s">
        <v>3</v>
      </c>
      <c r="E17" s="1"/>
    </row>
    <row r="18" spans="1:5" x14ac:dyDescent="0.25">
      <c r="A18" s="1"/>
      <c r="B18" s="33" t="s">
        <v>167</v>
      </c>
      <c r="C18" s="12">
        <f>SUM(C10:C17)</f>
        <v>4034408.81</v>
      </c>
      <c r="D18" s="13" t="s">
        <v>3</v>
      </c>
      <c r="E18" s="1"/>
    </row>
    <row r="19" spans="1:5" x14ac:dyDescent="0.25">
      <c r="A19" s="1"/>
      <c r="B19" s="33" t="s">
        <v>168</v>
      </c>
      <c r="C19" s="12">
        <f>C18*(1+'Fane 15. Nøgletal'!C10)^2</f>
        <v>4587105.4286680287</v>
      </c>
      <c r="D19" s="13" t="s">
        <v>3</v>
      </c>
      <c r="E19" s="1"/>
    </row>
    <row r="20" spans="1:5" x14ac:dyDescent="0.25">
      <c r="A20" s="1"/>
      <c r="B20" s="16"/>
      <c r="C20" s="15"/>
      <c r="D20" s="15"/>
      <c r="E20" s="1"/>
    </row>
    <row r="21" spans="1:5" x14ac:dyDescent="0.25">
      <c r="A21" s="1"/>
      <c r="B21" s="16"/>
      <c r="C21" s="15"/>
      <c r="D21" s="15"/>
      <c r="E21" s="1"/>
    </row>
    <row r="22" spans="1:5" x14ac:dyDescent="0.25">
      <c r="A22" s="1"/>
      <c r="B22" s="108" t="s">
        <v>60</v>
      </c>
      <c r="C22" s="109"/>
      <c r="D22" s="110"/>
      <c r="E22" s="1"/>
    </row>
    <row r="23" spans="1:5" x14ac:dyDescent="0.25">
      <c r="A23" s="1"/>
      <c r="B23" s="37" t="s">
        <v>72</v>
      </c>
      <c r="C23" s="9">
        <v>1678803</v>
      </c>
      <c r="D23" s="14" t="s">
        <v>3</v>
      </c>
      <c r="E23" s="1"/>
    </row>
    <row r="24" spans="1:5" x14ac:dyDescent="0.25">
      <c r="A24" s="1"/>
      <c r="B24" s="37" t="s">
        <v>83</v>
      </c>
      <c r="C24" s="9">
        <v>1678803</v>
      </c>
      <c r="D24" s="14" t="s">
        <v>3</v>
      </c>
      <c r="E24" s="1"/>
    </row>
    <row r="25" spans="1:5" x14ac:dyDescent="0.25">
      <c r="A25" s="1"/>
      <c r="B25" s="37" t="s">
        <v>148</v>
      </c>
      <c r="C25" s="9">
        <v>1678803</v>
      </c>
      <c r="D25" s="14" t="s">
        <v>3</v>
      </c>
      <c r="E25" s="1"/>
    </row>
    <row r="26" spans="1:5" x14ac:dyDescent="0.25">
      <c r="A26" s="1"/>
      <c r="B26" s="34" t="s">
        <v>169</v>
      </c>
      <c r="C26" s="9">
        <v>1678803</v>
      </c>
      <c r="D26" s="36" t="s">
        <v>3</v>
      </c>
      <c r="E26" s="1"/>
    </row>
    <row r="27" spans="1:5" x14ac:dyDescent="0.25">
      <c r="A27" s="1"/>
      <c r="B27" s="108"/>
      <c r="C27" s="109"/>
      <c r="D27" s="110"/>
      <c r="E27" s="1"/>
    </row>
    <row r="28" spans="1:5" x14ac:dyDescent="0.25">
      <c r="A28" s="1"/>
      <c r="B28" s="1"/>
      <c r="C28" s="1"/>
      <c r="D28" s="1"/>
      <c r="E28" s="1"/>
    </row>
    <row r="29" spans="1:5" x14ac:dyDescent="0.25">
      <c r="A29" s="1"/>
      <c r="B29" s="1"/>
      <c r="C29" s="1"/>
      <c r="D29" s="1"/>
      <c r="E29" s="1"/>
    </row>
    <row r="30" spans="1:5" x14ac:dyDescent="0.25">
      <c r="A30" s="1"/>
      <c r="B30" s="108" t="s">
        <v>47</v>
      </c>
      <c r="C30" s="109"/>
      <c r="D30" s="110"/>
      <c r="E30" s="1"/>
    </row>
    <row r="31" spans="1:5" x14ac:dyDescent="0.25">
      <c r="A31" s="1"/>
      <c r="B31" s="37" t="s">
        <v>72</v>
      </c>
      <c r="C31" s="9">
        <v>0</v>
      </c>
      <c r="D31" s="14" t="s">
        <v>3</v>
      </c>
      <c r="E31" s="1"/>
    </row>
    <row r="32" spans="1:5" x14ac:dyDescent="0.25">
      <c r="A32" s="1"/>
      <c r="B32" s="37" t="s">
        <v>83</v>
      </c>
      <c r="C32" s="9">
        <v>0</v>
      </c>
      <c r="D32" s="14" t="s">
        <v>3</v>
      </c>
      <c r="E32" s="1"/>
    </row>
    <row r="33" spans="1:5" x14ac:dyDescent="0.25">
      <c r="A33" s="1"/>
      <c r="B33" s="37" t="s">
        <v>148</v>
      </c>
      <c r="C33" s="9">
        <v>0</v>
      </c>
      <c r="D33" s="14" t="s">
        <v>3</v>
      </c>
      <c r="E33" s="1"/>
    </row>
    <row r="34" spans="1:5" x14ac:dyDescent="0.25">
      <c r="A34" s="1"/>
      <c r="B34" s="34" t="s">
        <v>169</v>
      </c>
      <c r="C34" s="9">
        <v>0</v>
      </c>
      <c r="D34" s="36" t="s">
        <v>3</v>
      </c>
      <c r="E34" s="1"/>
    </row>
    <row r="35" spans="1:5" x14ac:dyDescent="0.25">
      <c r="A35" s="1"/>
      <c r="B35" s="108"/>
      <c r="C35" s="109"/>
      <c r="D35" s="110"/>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hidden="1" x14ac:dyDescent="0.25">
      <c r="A48" s="44"/>
      <c r="B48" s="44"/>
      <c r="C48" s="44"/>
      <c r="D48" s="44"/>
      <c r="E48" s="44"/>
    </row>
    <row r="49" spans="1:5" hidden="1" x14ac:dyDescent="0.25">
      <c r="A49" s="44"/>
      <c r="B49" s="44"/>
      <c r="C49" s="44"/>
      <c r="D49" s="44"/>
      <c r="E49" s="44"/>
    </row>
    <row r="50" spans="1:5" hidden="1" x14ac:dyDescent="0.25">
      <c r="A50" s="44"/>
      <c r="B50" s="44"/>
      <c r="C50" s="44"/>
      <c r="D50" s="44"/>
      <c r="E50" s="44"/>
    </row>
    <row r="51" spans="1:5" hidden="1" x14ac:dyDescent="0.25">
      <c r="A51" s="44"/>
      <c r="B51" s="44"/>
      <c r="C51" s="44"/>
      <c r="D51" s="44"/>
      <c r="E51" s="44"/>
    </row>
    <row r="52" spans="1:5" hidden="1" x14ac:dyDescent="0.25">
      <c r="A52" s="44"/>
      <c r="B52" s="44"/>
      <c r="C52" s="44"/>
      <c r="D52" s="44"/>
      <c r="E52" s="44"/>
    </row>
    <row r="53" spans="1:5" hidden="1" x14ac:dyDescent="0.25">
      <c r="A53" s="44"/>
      <c r="B53" s="44"/>
      <c r="C53" s="44"/>
      <c r="D53" s="44"/>
      <c r="E53" s="44"/>
    </row>
    <row r="54" spans="1:5" hidden="1" x14ac:dyDescent="0.25">
      <c r="A54" s="44"/>
      <c r="B54" s="44"/>
      <c r="C54" s="44"/>
      <c r="D54" s="44"/>
      <c r="E54" s="44"/>
    </row>
    <row r="55" spans="1:5" x14ac:dyDescent="0.25"/>
    <row r="56" spans="1:5" x14ac:dyDescent="0.25"/>
  </sheetData>
  <sheetProtection algorithmName="SHA-512" hashValue="H+yLSR6C62MTKgmXILp/Y/HkADxvCruFxtc+TMgNpBKaXmUQLIUomtHm2unSpWJhO8/hUVr6Z7IaeZyqIruPIg==" saltValue="WAK/t8N5t8X6VVLW1XQe7A==" spinCount="100000" sheet="1" objects="1" scenarios="1"/>
  <mergeCells count="6">
    <mergeCell ref="B35:D35"/>
    <mergeCell ref="B3:D4"/>
    <mergeCell ref="B8:D8"/>
    <mergeCell ref="B22:D22"/>
    <mergeCell ref="B30:D30"/>
    <mergeCell ref="B27:D27"/>
  </mergeCells>
  <pageMargins left="0.75"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21"/>
  <dimension ref="A1:E53"/>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7" t="s">
        <v>201</v>
      </c>
      <c r="C3" s="107"/>
      <c r="D3" s="107"/>
      <c r="E3" s="1"/>
    </row>
    <row r="4" spans="1:5" ht="15" customHeight="1" x14ac:dyDescent="0.25">
      <c r="A4" s="1"/>
      <c r="B4" s="107"/>
      <c r="C4" s="107"/>
      <c r="D4" s="107"/>
      <c r="E4" s="1"/>
    </row>
    <row r="5" spans="1:5" ht="15" customHeight="1" x14ac:dyDescent="0.25">
      <c r="A5" s="1"/>
      <c r="B5" s="107"/>
      <c r="C5" s="107"/>
      <c r="D5" s="107"/>
      <c r="E5" s="1"/>
    </row>
    <row r="6" spans="1:5" ht="15" customHeight="1" x14ac:dyDescent="0.25">
      <c r="A6" s="1"/>
      <c r="B6" s="75"/>
      <c r="C6" s="75"/>
      <c r="D6" s="75"/>
      <c r="E6" s="1"/>
    </row>
    <row r="7" spans="1:5" x14ac:dyDescent="0.25">
      <c r="A7" s="1"/>
      <c r="B7" s="1"/>
      <c r="C7" s="1"/>
      <c r="D7" s="1"/>
      <c r="E7" s="1"/>
    </row>
    <row r="8" spans="1:5" x14ac:dyDescent="0.25">
      <c r="A8" s="1"/>
      <c r="B8" s="108" t="s">
        <v>77</v>
      </c>
      <c r="C8" s="109"/>
      <c r="D8" s="110"/>
      <c r="E8" s="1"/>
    </row>
    <row r="9" spans="1:5" x14ac:dyDescent="0.25">
      <c r="A9" s="1"/>
      <c r="B9" s="65" t="s">
        <v>204</v>
      </c>
      <c r="C9" s="9">
        <v>1153528.6271166652</v>
      </c>
      <c r="D9" s="14" t="s">
        <v>3</v>
      </c>
      <c r="E9" s="1"/>
    </row>
    <row r="10" spans="1:5" x14ac:dyDescent="0.25">
      <c r="A10" s="1"/>
      <c r="B10" s="33"/>
      <c r="C10" s="28"/>
      <c r="D10" s="19"/>
      <c r="E10" s="1"/>
    </row>
    <row r="11" spans="1:5" ht="53.25" customHeight="1" x14ac:dyDescent="0.25">
      <c r="A11" s="1"/>
      <c r="B11" s="119" t="s">
        <v>212</v>
      </c>
      <c r="C11" s="120"/>
      <c r="D11" s="121"/>
      <c r="E11" s="1"/>
    </row>
    <row r="12" spans="1:5" x14ac:dyDescent="0.25">
      <c r="A12" s="1"/>
      <c r="B12" s="1"/>
      <c r="C12" s="1"/>
      <c r="D12" s="1"/>
      <c r="E12" s="1"/>
    </row>
    <row r="13" spans="1:5" x14ac:dyDescent="0.25">
      <c r="A13" s="1"/>
      <c r="B13" s="108" t="s">
        <v>78</v>
      </c>
      <c r="C13" s="109"/>
      <c r="D13" s="110"/>
      <c r="E13" s="1"/>
    </row>
    <row r="14" spans="1:5" x14ac:dyDescent="0.25">
      <c r="A14" s="1"/>
      <c r="B14" s="65" t="s">
        <v>202</v>
      </c>
      <c r="C14" s="9">
        <v>0</v>
      </c>
      <c r="D14" s="14" t="s">
        <v>3</v>
      </c>
      <c r="E14" s="1"/>
    </row>
    <row r="15" spans="1:5" x14ac:dyDescent="0.25">
      <c r="A15" s="1"/>
      <c r="B15" s="65" t="s">
        <v>203</v>
      </c>
      <c r="C15" s="9">
        <v>0</v>
      </c>
      <c r="D15" s="14" t="s">
        <v>3</v>
      </c>
      <c r="E15" s="1"/>
    </row>
    <row r="16" spans="1:5" x14ac:dyDescent="0.25">
      <c r="A16" s="1"/>
      <c r="B16" s="33"/>
      <c r="C16" s="28"/>
      <c r="D16" s="19"/>
      <c r="E16" s="1"/>
    </row>
    <row r="17" spans="1:5" ht="29.25" customHeight="1" x14ac:dyDescent="0.25">
      <c r="A17" s="1"/>
      <c r="B17" s="119" t="s">
        <v>121</v>
      </c>
      <c r="C17" s="120"/>
      <c r="D17" s="121"/>
      <c r="E17" s="1"/>
    </row>
    <row r="18" spans="1:5" x14ac:dyDescent="0.25">
      <c r="A18" s="1"/>
      <c r="B18" s="1"/>
      <c r="C18" s="1"/>
      <c r="D18" s="1"/>
      <c r="E18" s="1"/>
    </row>
    <row r="19" spans="1:5" x14ac:dyDescent="0.25">
      <c r="A19" s="1"/>
      <c r="B19" s="76" t="s">
        <v>205</v>
      </c>
      <c r="C19" s="77"/>
      <c r="D19" s="78"/>
      <c r="E19" s="1"/>
    </row>
    <row r="20" spans="1:5" x14ac:dyDescent="0.25">
      <c r="A20" s="1"/>
      <c r="B20" s="65" t="s">
        <v>206</v>
      </c>
      <c r="C20" s="9">
        <v>113053511.89696893</v>
      </c>
      <c r="D20" s="14" t="s">
        <v>3</v>
      </c>
      <c r="E20" s="1"/>
    </row>
    <row r="21" spans="1:5" x14ac:dyDescent="0.25">
      <c r="A21" s="1"/>
      <c r="B21" s="65" t="s">
        <v>207</v>
      </c>
      <c r="C21" s="9">
        <v>112864502</v>
      </c>
      <c r="D21" s="14" t="s">
        <v>3</v>
      </c>
      <c r="E21" s="1"/>
    </row>
    <row r="22" spans="1:5" x14ac:dyDescent="0.25">
      <c r="A22" s="1"/>
      <c r="B22" s="65" t="s">
        <v>29</v>
      </c>
      <c r="C22" s="9">
        <v>-325000</v>
      </c>
      <c r="D22" s="14" t="s">
        <v>3</v>
      </c>
      <c r="E22" s="1"/>
    </row>
    <row r="23" spans="1:5" x14ac:dyDescent="0.25">
      <c r="A23" s="1"/>
      <c r="B23" s="82" t="s">
        <v>208</v>
      </c>
      <c r="C23" s="57">
        <f>C20-C21-C22</f>
        <v>514009.89696893096</v>
      </c>
      <c r="D23" s="17" t="s">
        <v>3</v>
      </c>
      <c r="E23" s="1"/>
    </row>
    <row r="24" spans="1:5" x14ac:dyDescent="0.25">
      <c r="A24" s="1"/>
      <c r="B24" s="33"/>
      <c r="C24" s="28"/>
      <c r="D24" s="19"/>
      <c r="E24" s="1"/>
    </row>
    <row r="25" spans="1:5" x14ac:dyDescent="0.25">
      <c r="A25" s="1"/>
      <c r="B25" s="1"/>
      <c r="C25" s="1"/>
      <c r="D25" s="1"/>
      <c r="E25" s="1"/>
    </row>
    <row r="26" spans="1:5" x14ac:dyDescent="0.25">
      <c r="A26" s="1"/>
      <c r="B26" s="108" t="s">
        <v>209</v>
      </c>
      <c r="C26" s="109"/>
      <c r="D26" s="110"/>
      <c r="E26" s="1"/>
    </row>
    <row r="27" spans="1:5" x14ac:dyDescent="0.25">
      <c r="A27" s="1"/>
      <c r="B27" s="82" t="s">
        <v>210</v>
      </c>
      <c r="C27" s="57">
        <f>IF(AND(C15&lt;0,C23&gt;0,ABS(SUM(C14:C15))&lt;C23),ABS(C14),IF(AND(C15&lt;0,C23&gt;0,ABS(SUM(C14:C15))&gt;C23),SUM(C14,C23),C15))</f>
        <v>0</v>
      </c>
      <c r="D27" s="17" t="s">
        <v>3</v>
      </c>
      <c r="E27" s="1"/>
    </row>
    <row r="28" spans="1:5" x14ac:dyDescent="0.25">
      <c r="A28" s="1"/>
      <c r="B28" s="108"/>
      <c r="C28" s="109"/>
      <c r="D28" s="110"/>
      <c r="E28" s="1"/>
    </row>
    <row r="29" spans="1:5" x14ac:dyDescent="0.25">
      <c r="A29" s="1"/>
      <c r="B29" s="1"/>
      <c r="C29" s="1"/>
      <c r="D29" s="1"/>
      <c r="E29" s="1"/>
    </row>
    <row r="30" spans="1:5" x14ac:dyDescent="0.25">
      <c r="A30" s="1"/>
      <c r="B30" s="108" t="s">
        <v>211</v>
      </c>
      <c r="C30" s="109"/>
      <c r="D30" s="110"/>
      <c r="E30" s="1"/>
    </row>
    <row r="31" spans="1:5" x14ac:dyDescent="0.25">
      <c r="A31" s="1"/>
      <c r="B31" s="66" t="s">
        <v>69</v>
      </c>
      <c r="C31" s="58">
        <f>IF(AND(C9&gt;0,(C9+C23)&gt;0),0,IF(AND(C9&gt;0,(C9+C23)&lt;0),(C9+C23),IF(AND(C9&lt;0,C23&lt;0),C23,0)))</f>
        <v>0</v>
      </c>
      <c r="D31" s="14" t="s">
        <v>3</v>
      </c>
      <c r="E31" s="1"/>
    </row>
    <row r="32" spans="1:5" x14ac:dyDescent="0.25">
      <c r="A32" s="1"/>
      <c r="B32" s="66" t="s">
        <v>49</v>
      </c>
      <c r="C32" s="9">
        <v>2</v>
      </c>
      <c r="D32" s="14" t="s">
        <v>20</v>
      </c>
      <c r="E32" s="1"/>
    </row>
    <row r="33" spans="1:5" x14ac:dyDescent="0.25">
      <c r="A33" s="1"/>
      <c r="B33" s="67" t="s">
        <v>70</v>
      </c>
      <c r="C33" s="57">
        <f>C31/C32</f>
        <v>0</v>
      </c>
      <c r="D33" s="17" t="s">
        <v>3</v>
      </c>
      <c r="E33" s="1"/>
    </row>
    <row r="34" spans="1:5" x14ac:dyDescent="0.25">
      <c r="A34" s="1"/>
      <c r="B34" s="116"/>
      <c r="C34" s="117"/>
      <c r="D34" s="118"/>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hidden="1" x14ac:dyDescent="0.25">
      <c r="A46" s="44"/>
      <c r="B46" s="44"/>
      <c r="C46" s="44"/>
      <c r="D46" s="44"/>
      <c r="E46" s="44"/>
    </row>
    <row r="47" spans="1:5" hidden="1" x14ac:dyDescent="0.25">
      <c r="A47" s="44"/>
      <c r="B47" s="44"/>
      <c r="C47" s="44"/>
      <c r="D47" s="44"/>
      <c r="E47" s="44"/>
    </row>
    <row r="48" spans="1:5" hidden="1" x14ac:dyDescent="0.25">
      <c r="A48" s="44"/>
      <c r="B48" s="44"/>
      <c r="C48" s="44"/>
      <c r="D48" s="44"/>
      <c r="E48" s="44"/>
    </row>
    <row r="49" spans="1:5" hidden="1" x14ac:dyDescent="0.25">
      <c r="A49" s="44"/>
      <c r="B49" s="44"/>
      <c r="C49" s="44"/>
      <c r="D49" s="44"/>
      <c r="E49" s="44"/>
    </row>
    <row r="50" spans="1:5" hidden="1" x14ac:dyDescent="0.25">
      <c r="A50" s="44"/>
      <c r="B50" s="44"/>
      <c r="C50" s="44"/>
      <c r="D50" s="44"/>
      <c r="E50" s="44"/>
    </row>
    <row r="51" spans="1:5" hidden="1" x14ac:dyDescent="0.25">
      <c r="A51" s="44"/>
      <c r="B51" s="44"/>
      <c r="C51" s="44"/>
      <c r="D51" s="44"/>
      <c r="E51" s="44"/>
    </row>
    <row r="52" spans="1:5" hidden="1" x14ac:dyDescent="0.25">
      <c r="A52" s="44"/>
      <c r="B52" s="44"/>
      <c r="C52" s="44"/>
      <c r="D52" s="44"/>
      <c r="E52" s="44"/>
    </row>
    <row r="53" spans="1:5" hidden="1" x14ac:dyDescent="0.25">
      <c r="A53" s="44"/>
      <c r="E53" s="44"/>
    </row>
  </sheetData>
  <sheetProtection algorithmName="SHA-512" hashValue="UxtO4zpUN1Ul8c7MB6vBRUfhwLwucxl95vbkJQ1/DXocl9h33zjU90YLNONQj23C5eXyOGmVnraAHtkSXgaOKw==" saltValue="FjcCFPSZNXvKdbicchbHDg==" spinCount="100000" sheet="1" objects="1" scenarios="1"/>
  <mergeCells count="9">
    <mergeCell ref="B3:D5"/>
    <mergeCell ref="B30:D30"/>
    <mergeCell ref="B34:D34"/>
    <mergeCell ref="B28:D28"/>
    <mergeCell ref="B8:D8"/>
    <mergeCell ref="B11:D11"/>
    <mergeCell ref="B13:D13"/>
    <mergeCell ref="B17:D17"/>
    <mergeCell ref="B26:D26"/>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20"/>
  <dimension ref="A1:E49"/>
  <sheetViews>
    <sheetView zoomScaleNormal="100" workbookViewId="0"/>
  </sheetViews>
  <sheetFormatPr defaultColWidth="0" defaultRowHeight="15" zeroHeight="1" x14ac:dyDescent="0.25"/>
  <cols>
    <col min="1" max="1" width="5.28515625" style="56" customWidth="1"/>
    <col min="2" max="2" width="57.140625" style="56" customWidth="1"/>
    <col min="3" max="3" width="12.5703125" style="56" customWidth="1"/>
    <col min="4" max="4" width="3.140625" style="56" customWidth="1"/>
    <col min="5" max="5" width="5.28515625" style="56" customWidth="1"/>
    <col min="6" max="16384" width="9.140625" style="56" hidden="1"/>
  </cols>
  <sheetData>
    <row r="1" spans="1:5" x14ac:dyDescent="0.25">
      <c r="A1" s="1"/>
      <c r="B1" s="1"/>
      <c r="C1" s="1"/>
      <c r="D1" s="1"/>
      <c r="E1" s="1"/>
    </row>
    <row r="2" spans="1:5" x14ac:dyDescent="0.25">
      <c r="A2" s="1"/>
      <c r="B2" s="1"/>
      <c r="C2" s="1"/>
      <c r="D2" s="1"/>
      <c r="E2" s="1"/>
    </row>
    <row r="3" spans="1:5" ht="15" customHeight="1" x14ac:dyDescent="0.25">
      <c r="A3" s="1"/>
      <c r="B3" s="107" t="s">
        <v>101</v>
      </c>
      <c r="C3" s="107"/>
      <c r="D3" s="107"/>
      <c r="E3" s="1"/>
    </row>
    <row r="4" spans="1:5" ht="15" customHeight="1" x14ac:dyDescent="0.25">
      <c r="A4" s="1"/>
      <c r="B4" s="107"/>
      <c r="C4" s="107"/>
      <c r="D4" s="107"/>
      <c r="E4" s="1"/>
    </row>
    <row r="5" spans="1:5" x14ac:dyDescent="0.25">
      <c r="A5" s="1"/>
      <c r="B5" s="107"/>
      <c r="C5" s="107"/>
      <c r="D5" s="107"/>
      <c r="E5" s="1"/>
    </row>
    <row r="6" spans="1:5" x14ac:dyDescent="0.25">
      <c r="A6" s="1"/>
      <c r="B6" s="1"/>
      <c r="C6" s="1"/>
      <c r="D6" s="1"/>
      <c r="E6" s="1"/>
    </row>
    <row r="7" spans="1:5" x14ac:dyDescent="0.25">
      <c r="A7" s="1"/>
      <c r="B7" s="1"/>
      <c r="C7" s="1"/>
      <c r="D7" s="1"/>
      <c r="E7" s="1"/>
    </row>
    <row r="8" spans="1:5" x14ac:dyDescent="0.25">
      <c r="A8" s="1"/>
      <c r="B8" s="108" t="s">
        <v>120</v>
      </c>
      <c r="C8" s="109"/>
      <c r="D8" s="110"/>
      <c r="E8" s="1"/>
    </row>
    <row r="9" spans="1:5" ht="15" customHeight="1" x14ac:dyDescent="0.25">
      <c r="A9" s="1"/>
      <c r="B9" s="122" t="s">
        <v>102</v>
      </c>
      <c r="C9" s="123"/>
      <c r="D9" s="124"/>
      <c r="E9" s="1"/>
    </row>
    <row r="10" spans="1:5" x14ac:dyDescent="0.25">
      <c r="A10" s="1"/>
      <c r="B10" s="68" t="s">
        <v>103</v>
      </c>
      <c r="C10" s="9"/>
      <c r="D10" s="9" t="s">
        <v>3</v>
      </c>
      <c r="E10" s="1"/>
    </row>
    <row r="11" spans="1:5" x14ac:dyDescent="0.25">
      <c r="A11" s="1"/>
      <c r="B11" s="68" t="s">
        <v>104</v>
      </c>
      <c r="C11" s="9"/>
      <c r="D11" s="9" t="s">
        <v>3</v>
      </c>
      <c r="E11" s="1"/>
    </row>
    <row r="12" spans="1:5" x14ac:dyDescent="0.25">
      <c r="A12" s="1"/>
      <c r="B12" s="68" t="s">
        <v>105</v>
      </c>
      <c r="C12" s="9"/>
      <c r="D12" s="9" t="s">
        <v>3</v>
      </c>
      <c r="E12" s="1"/>
    </row>
    <row r="13" spans="1:5" x14ac:dyDescent="0.25">
      <c r="A13" s="1"/>
      <c r="B13" s="68" t="s">
        <v>106</v>
      </c>
      <c r="C13" s="9"/>
      <c r="D13" s="9" t="s">
        <v>3</v>
      </c>
      <c r="E13" s="1"/>
    </row>
    <row r="14" spans="1:5" x14ac:dyDescent="0.25">
      <c r="A14" s="1"/>
      <c r="B14" s="68" t="s">
        <v>107</v>
      </c>
      <c r="C14" s="9"/>
      <c r="D14" s="9" t="s">
        <v>3</v>
      </c>
      <c r="E14" s="1"/>
    </row>
    <row r="15" spans="1:5" x14ac:dyDescent="0.25">
      <c r="A15" s="1"/>
      <c r="B15" s="68" t="s">
        <v>108</v>
      </c>
      <c r="C15" s="9"/>
      <c r="D15" s="9" t="s">
        <v>3</v>
      </c>
      <c r="E15" s="1"/>
    </row>
    <row r="16" spans="1:5" x14ac:dyDescent="0.25">
      <c r="A16" s="1"/>
      <c r="B16" s="68" t="s">
        <v>109</v>
      </c>
      <c r="C16" s="9"/>
      <c r="D16" s="9" t="s">
        <v>3</v>
      </c>
      <c r="E16" s="1"/>
    </row>
    <row r="17" spans="1:5" x14ac:dyDescent="0.25">
      <c r="A17" s="1"/>
      <c r="B17" s="68" t="s">
        <v>110</v>
      </c>
      <c r="C17" s="9"/>
      <c r="D17" s="9" t="s">
        <v>3</v>
      </c>
      <c r="E17" s="1"/>
    </row>
    <row r="18" spans="1:5" x14ac:dyDescent="0.25">
      <c r="A18" s="1"/>
      <c r="B18" s="76" t="s">
        <v>111</v>
      </c>
      <c r="C18" s="12">
        <f>SUM(C10:C17)</f>
        <v>0</v>
      </c>
      <c r="D18" s="13" t="s">
        <v>3</v>
      </c>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C+wBr76X85IbwaYBqZ/V8G+tnxbRoEom+FaW88zzVz3HL13Lggwp8JgB+CGBjlXWyiRULuibjwvvxHbCdNrg9w==" saltValue="Y88PZVwjM754nD6N+PpOFw==" spinCount="100000" sheet="1" objects="1" scenarios="1"/>
  <mergeCells count="3">
    <mergeCell ref="B9:D9"/>
    <mergeCell ref="B8:D8"/>
    <mergeCell ref="B3:D5"/>
  </mergeCells>
  <pageMargins left="0.70866141732283461" right="0.70866141732283461"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5"/>
  <dimension ref="A1:E48"/>
  <sheetViews>
    <sheetView showGridLines="0" zoomScaleNormal="100" workbookViewId="0"/>
  </sheetViews>
  <sheetFormatPr defaultColWidth="0" defaultRowHeight="15" zeroHeight="1" x14ac:dyDescent="0.25"/>
  <cols>
    <col min="1" max="1" width="5.28515625" style="2" customWidth="1"/>
    <col min="2" max="2" width="55.710937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7" t="s">
        <v>170</v>
      </c>
      <c r="C3" s="107"/>
      <c r="D3" s="107"/>
      <c r="E3" s="1"/>
    </row>
    <row r="4" spans="1:5" ht="15" customHeight="1" x14ac:dyDescent="0.25">
      <c r="A4" s="1"/>
      <c r="B4" s="107"/>
      <c r="C4" s="107"/>
      <c r="D4" s="107"/>
      <c r="E4" s="1"/>
    </row>
    <row r="5" spans="1:5" x14ac:dyDescent="0.25">
      <c r="A5" s="1"/>
      <c r="B5" s="1"/>
      <c r="C5" s="1"/>
      <c r="D5" s="1"/>
      <c r="E5" s="1"/>
    </row>
    <row r="6" spans="1:5" x14ac:dyDescent="0.25">
      <c r="A6" s="1"/>
      <c r="B6" s="1"/>
      <c r="C6" s="1"/>
      <c r="D6" s="1"/>
      <c r="E6" s="1"/>
    </row>
    <row r="7" spans="1:5" x14ac:dyDescent="0.25">
      <c r="A7" s="1"/>
      <c r="B7" s="1"/>
      <c r="C7" s="1"/>
      <c r="D7" s="1"/>
      <c r="E7" s="1"/>
    </row>
    <row r="8" spans="1:5" ht="15" customHeight="1" x14ac:dyDescent="0.25">
      <c r="A8" s="1"/>
      <c r="B8" s="108" t="s">
        <v>171</v>
      </c>
      <c r="C8" s="109"/>
      <c r="D8" s="110"/>
      <c r="E8" s="1"/>
    </row>
    <row r="9" spans="1:5" ht="26.25" x14ac:dyDescent="0.25">
      <c r="A9" s="1"/>
      <c r="B9" s="79" t="s">
        <v>217</v>
      </c>
      <c r="C9" s="7"/>
      <c r="D9" s="8" t="s">
        <v>3</v>
      </c>
      <c r="E9" s="1"/>
    </row>
    <row r="10" spans="1:5" ht="14.25" customHeight="1" x14ac:dyDescent="0.25">
      <c r="A10" s="1"/>
      <c r="B10" s="65" t="s">
        <v>172</v>
      </c>
      <c r="C10" s="7"/>
      <c r="D10" s="8" t="s">
        <v>3</v>
      </c>
      <c r="E10" s="1"/>
    </row>
    <row r="11" spans="1:5" ht="14.25" customHeight="1" x14ac:dyDescent="0.25">
      <c r="A11" s="1"/>
      <c r="B11" s="82" t="s">
        <v>48</v>
      </c>
      <c r="C11" s="10">
        <f>C10-C9</f>
        <v>0</v>
      </c>
      <c r="D11" s="11" t="s">
        <v>3</v>
      </c>
      <c r="E11" s="1"/>
    </row>
    <row r="12" spans="1:5" ht="14.25" customHeight="1" x14ac:dyDescent="0.25">
      <c r="A12" s="1"/>
      <c r="B12" s="108" t="s">
        <v>219</v>
      </c>
      <c r="C12" s="109"/>
      <c r="D12" s="110"/>
      <c r="E12" s="1"/>
    </row>
    <row r="13" spans="1:5" ht="26.25" x14ac:dyDescent="0.25">
      <c r="A13" s="1"/>
      <c r="B13" s="79" t="s">
        <v>218</v>
      </c>
      <c r="C13" s="7">
        <v>1678803</v>
      </c>
      <c r="D13" s="8" t="s">
        <v>3</v>
      </c>
      <c r="E13" s="1"/>
    </row>
    <row r="14" spans="1:5" ht="14.25" customHeight="1" x14ac:dyDescent="0.25">
      <c r="A14" s="1"/>
      <c r="B14" s="65" t="s">
        <v>173</v>
      </c>
      <c r="C14" s="7">
        <v>151442</v>
      </c>
      <c r="D14" s="8" t="s">
        <v>3</v>
      </c>
      <c r="E14" s="1"/>
    </row>
    <row r="15" spans="1:5" ht="14.25" customHeight="1" x14ac:dyDescent="0.25">
      <c r="A15" s="1"/>
      <c r="B15" s="82" t="s">
        <v>48</v>
      </c>
      <c r="C15" s="10">
        <f>C14-C13</f>
        <v>-1527361</v>
      </c>
      <c r="D15" s="11" t="s">
        <v>3</v>
      </c>
      <c r="E15" s="1"/>
    </row>
    <row r="16" spans="1:5" ht="14.25" customHeight="1" x14ac:dyDescent="0.25">
      <c r="A16" s="1"/>
      <c r="B16" s="33" t="s">
        <v>174</v>
      </c>
      <c r="C16" s="12">
        <f>C11+C15</f>
        <v>-1527361</v>
      </c>
      <c r="D16" s="13" t="s">
        <v>3</v>
      </c>
      <c r="E16" s="1"/>
    </row>
    <row r="17" spans="1:5" x14ac:dyDescent="0.25">
      <c r="A17" s="1"/>
      <c r="B17" s="1"/>
      <c r="C17" s="1"/>
      <c r="D17" s="1"/>
      <c r="E17" s="1"/>
    </row>
    <row r="18" spans="1:5" x14ac:dyDescent="0.25">
      <c r="A18" s="1"/>
      <c r="B18" s="1"/>
      <c r="C18" s="1"/>
      <c r="D18" s="1"/>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sheetData>
  <sheetProtection algorithmName="SHA-512" hashValue="YdKppn9xpVjvHUg8aucdmRWLHAtqnqUd6EEpwPVcX8aZ/7BayOgFBQrQxNoNwmlUFvA0ydCVZ5g5TUyCnTqJlQ==" saltValue="oqS4L7nQSydyrH8OsJWG2A==" spinCount="100000" sheet="1" objects="1" scenarios="1"/>
  <mergeCells count="3">
    <mergeCell ref="B12:D12"/>
    <mergeCell ref="B3:D4"/>
    <mergeCell ref="B8:D8"/>
  </mergeCells>
  <pageMargins left="0.79166666666666663"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0"/>
  <dimension ref="A1:L52"/>
  <sheetViews>
    <sheetView showGridLines="0" zoomScaleNormal="100" workbookViewId="0"/>
  </sheetViews>
  <sheetFormatPr defaultColWidth="0" defaultRowHeight="15" zeroHeight="1" x14ac:dyDescent="0.25"/>
  <cols>
    <col min="1" max="1" width="5.28515625" style="2" customWidth="1"/>
    <col min="2" max="2" width="23.7109375" style="2" customWidth="1"/>
    <col min="3" max="3" width="7.7109375" style="2" customWidth="1"/>
    <col min="4" max="4" width="9.7109375" style="2" customWidth="1"/>
    <col min="5" max="5" width="3.28515625" style="2" customWidth="1"/>
    <col min="6" max="6" width="9.7109375" style="2" customWidth="1"/>
    <col min="7" max="7" width="3.28515625" style="2" customWidth="1"/>
    <col min="8" max="8" width="9.7109375" style="2" customWidth="1"/>
    <col min="9" max="9" width="3.28515625" style="2" customWidth="1"/>
    <col min="10" max="10" width="9.7109375" style="2" customWidth="1"/>
    <col min="11" max="11" width="3.28515625" style="2" customWidth="1"/>
    <col min="12" max="12" width="5.28515625" style="2" customWidth="1"/>
    <col min="13" max="16384" width="9.140625" style="2" hidden="1"/>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104" t="s">
        <v>113</v>
      </c>
      <c r="C3" s="104"/>
      <c r="D3" s="104"/>
      <c r="E3" s="104"/>
      <c r="F3" s="104"/>
      <c r="G3" s="104"/>
      <c r="H3" s="104"/>
      <c r="I3" s="104"/>
      <c r="J3" s="104"/>
      <c r="K3" s="104"/>
      <c r="L3" s="1"/>
    </row>
    <row r="4" spans="1:12" ht="15" customHeight="1" x14ac:dyDescent="0.25">
      <c r="A4" s="1"/>
      <c r="B4" s="104"/>
      <c r="C4" s="104"/>
      <c r="D4" s="104"/>
      <c r="E4" s="104"/>
      <c r="F4" s="104"/>
      <c r="G4" s="104"/>
      <c r="H4" s="104"/>
      <c r="I4" s="104"/>
      <c r="J4" s="104"/>
      <c r="K4" s="104"/>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08" t="s">
        <v>86</v>
      </c>
      <c r="C8" s="109"/>
      <c r="D8" s="109"/>
      <c r="E8" s="109"/>
      <c r="F8" s="109"/>
      <c r="G8" s="109"/>
      <c r="H8" s="109"/>
      <c r="I8" s="109"/>
      <c r="J8" s="109"/>
      <c r="K8" s="110"/>
      <c r="L8" s="1"/>
    </row>
    <row r="9" spans="1:12" ht="39.75" customHeight="1" x14ac:dyDescent="0.25">
      <c r="A9" s="1"/>
      <c r="B9" s="18" t="s">
        <v>0</v>
      </c>
      <c r="C9" s="18" t="s">
        <v>1</v>
      </c>
      <c r="D9" s="125" t="s">
        <v>96</v>
      </c>
      <c r="E9" s="126"/>
      <c r="F9" s="125" t="s">
        <v>2</v>
      </c>
      <c r="G9" s="126"/>
      <c r="H9" s="125" t="s">
        <v>95</v>
      </c>
      <c r="I9" s="126"/>
      <c r="J9" s="125" t="s">
        <v>26</v>
      </c>
      <c r="K9" s="126"/>
      <c r="L9" s="1"/>
    </row>
    <row r="10" spans="1:12" x14ac:dyDescent="0.25">
      <c r="A10" s="1"/>
      <c r="B10" s="68" t="s">
        <v>224</v>
      </c>
      <c r="C10" s="42">
        <v>0</v>
      </c>
      <c r="D10" s="9">
        <v>0</v>
      </c>
      <c r="E10" s="14" t="s">
        <v>3</v>
      </c>
      <c r="F10" s="9">
        <f>IFERROR(D10/C10,0)</f>
        <v>0</v>
      </c>
      <c r="G10" s="14" t="s">
        <v>3</v>
      </c>
      <c r="H10" s="38">
        <v>0</v>
      </c>
      <c r="I10" s="14" t="s">
        <v>3</v>
      </c>
      <c r="J10" s="38">
        <v>0</v>
      </c>
      <c r="K10" s="14" t="s">
        <v>3</v>
      </c>
      <c r="L10" s="1"/>
    </row>
    <row r="11" spans="1:12" x14ac:dyDescent="0.25">
      <c r="A11" s="1"/>
      <c r="B11" s="76" t="s">
        <v>221</v>
      </c>
      <c r="C11" s="77"/>
      <c r="D11" s="78"/>
      <c r="E11" s="78"/>
      <c r="F11" s="12">
        <f>SUM(F10:F10)</f>
        <v>0</v>
      </c>
      <c r="G11" s="12" t="s">
        <v>94</v>
      </c>
      <c r="H11" s="12">
        <f>SUM(H10:H10)</f>
        <v>0</v>
      </c>
      <c r="I11" s="12" t="s">
        <v>94</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1"/>
      <c r="B45" s="1"/>
      <c r="C45" s="1"/>
      <c r="D45" s="1"/>
      <c r="E45" s="1"/>
      <c r="F45" s="1"/>
      <c r="G45" s="1"/>
      <c r="H45" s="1"/>
      <c r="I45" s="1"/>
      <c r="J45" s="1"/>
      <c r="K45" s="1"/>
      <c r="L45" s="1"/>
    </row>
    <row r="46" spans="1:12" x14ac:dyDescent="0.25">
      <c r="A46" s="1"/>
      <c r="B46" s="1"/>
      <c r="C46" s="1"/>
      <c r="D46" s="1"/>
      <c r="E46" s="1"/>
      <c r="F46" s="1"/>
      <c r="G46" s="1"/>
      <c r="H46" s="1"/>
      <c r="I46" s="1"/>
      <c r="J46" s="1"/>
      <c r="K46" s="1"/>
      <c r="L46" s="1"/>
    </row>
    <row r="47" spans="1:12" hidden="1" x14ac:dyDescent="0.25">
      <c r="A47" s="44"/>
      <c r="B47" s="44"/>
      <c r="C47" s="44"/>
      <c r="D47" s="44"/>
      <c r="E47" s="44"/>
      <c r="F47" s="44"/>
      <c r="G47" s="44"/>
      <c r="H47" s="44"/>
      <c r="I47" s="44"/>
      <c r="J47" s="44"/>
      <c r="K47" s="44"/>
      <c r="L47" s="44"/>
    </row>
    <row r="48" spans="1:12" hidden="1" x14ac:dyDescent="0.25">
      <c r="A48" s="44"/>
      <c r="B48" s="44"/>
      <c r="C48" s="44"/>
      <c r="D48" s="44"/>
      <c r="E48" s="44"/>
      <c r="F48" s="44"/>
      <c r="G48" s="44"/>
      <c r="H48" s="44"/>
      <c r="I48" s="44"/>
      <c r="J48" s="44"/>
      <c r="K48" s="44"/>
      <c r="L48" s="44"/>
    </row>
    <row r="49" hidden="1" x14ac:dyDescent="0.25"/>
    <row r="50" hidden="1" x14ac:dyDescent="0.25"/>
    <row r="51" hidden="1" x14ac:dyDescent="0.25"/>
    <row r="52" hidden="1" x14ac:dyDescent="0.25"/>
  </sheetData>
  <sheetProtection algorithmName="SHA-512" hashValue="4ZfqNxePtyI+g7D9h6MEabmIiRovlK62k/Ilx9PrPf7+7WtKTAnXB+H12t97soLLUOneBWPpqMCpKSFkjxHDjw==" saltValue="qL6M6JkhFSwKdlpxv6OkeA==" spinCount="100000" sheet="1" objects="1" scenarios="1"/>
  <mergeCells count="6">
    <mergeCell ref="B3:K4"/>
    <mergeCell ref="B8:K8"/>
    <mergeCell ref="F9:G9"/>
    <mergeCell ref="H9:I9"/>
    <mergeCell ref="J9:K9"/>
    <mergeCell ref="D9:E9"/>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6"/>
  <dimension ref="A1:G52"/>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28515625" style="2"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4" t="s">
        <v>114</v>
      </c>
      <c r="C3" s="104"/>
      <c r="D3" s="104"/>
      <c r="E3" s="104"/>
      <c r="F3" s="104"/>
      <c r="G3" s="1"/>
    </row>
    <row r="4" spans="1:7" ht="15" customHeight="1" x14ac:dyDescent="0.25">
      <c r="A4" s="1"/>
      <c r="B4" s="104"/>
      <c r="C4" s="104"/>
      <c r="D4" s="104"/>
      <c r="E4" s="104"/>
      <c r="F4" s="10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33" t="s">
        <v>37</v>
      </c>
      <c r="C8" s="28"/>
      <c r="D8" s="28"/>
      <c r="E8" s="28"/>
      <c r="F8" s="19"/>
      <c r="G8" s="1"/>
    </row>
    <row r="9" spans="1:7" ht="17.25" customHeight="1" x14ac:dyDescent="0.25">
      <c r="A9" s="1"/>
      <c r="B9" s="80" t="s">
        <v>17</v>
      </c>
      <c r="C9" s="82" t="s">
        <v>11</v>
      </c>
      <c r="D9" s="81"/>
      <c r="E9" s="82" t="s">
        <v>27</v>
      </c>
      <c r="F9" s="32"/>
      <c r="G9" s="1"/>
    </row>
    <row r="10" spans="1:7" x14ac:dyDescent="0.25">
      <c r="A10" s="1"/>
      <c r="B10" s="24" t="s">
        <v>87</v>
      </c>
      <c r="C10" s="21">
        <f>'Fane 10. Anlægsprojekter (§ 19)'!H11</f>
        <v>0</v>
      </c>
      <c r="D10" s="14" t="s">
        <v>3</v>
      </c>
      <c r="E10" s="9">
        <f>'Fane 10. Anlægsprojekter (§ 19)'!F11+'Fane 10. Anlægsprojekter (§ 19)'!J11</f>
        <v>0</v>
      </c>
      <c r="F10" s="14" t="s">
        <v>3</v>
      </c>
      <c r="G10" s="1"/>
    </row>
    <row r="11" spans="1:7" x14ac:dyDescent="0.25">
      <c r="A11" s="1"/>
      <c r="B11" s="24" t="s">
        <v>236</v>
      </c>
      <c r="C11" s="21">
        <v>0</v>
      </c>
      <c r="D11" s="14" t="s">
        <v>3</v>
      </c>
      <c r="E11" s="9">
        <v>1187701.97</v>
      </c>
      <c r="F11" s="14" t="s">
        <v>3</v>
      </c>
      <c r="G11" s="1"/>
    </row>
    <row r="12" spans="1:7" x14ac:dyDescent="0.25">
      <c r="A12" s="1"/>
      <c r="B12" s="24" t="s">
        <v>237</v>
      </c>
      <c r="C12" s="21">
        <v>122467</v>
      </c>
      <c r="D12" s="14" t="s">
        <v>3</v>
      </c>
      <c r="E12" s="9">
        <v>385762.96</v>
      </c>
      <c r="F12" s="14" t="s">
        <v>3</v>
      </c>
      <c r="G12" s="1"/>
    </row>
    <row r="13" spans="1:7" x14ac:dyDescent="0.25">
      <c r="A13" s="1"/>
      <c r="B13" s="24" t="s">
        <v>238</v>
      </c>
      <c r="C13" s="21">
        <v>0</v>
      </c>
      <c r="D13" s="14" t="s">
        <v>3</v>
      </c>
      <c r="E13" s="9">
        <v>166972.84</v>
      </c>
      <c r="F13" s="14" t="s">
        <v>3</v>
      </c>
      <c r="G13" s="1"/>
    </row>
    <row r="14" spans="1:7" x14ac:dyDescent="0.25">
      <c r="A14" s="1"/>
      <c r="B14" s="24" t="s">
        <v>239</v>
      </c>
      <c r="C14" s="21">
        <v>62599</v>
      </c>
      <c r="D14" s="14" t="s">
        <v>3</v>
      </c>
      <c r="E14" s="9">
        <v>448390.06999999995</v>
      </c>
      <c r="F14" s="14" t="s">
        <v>3</v>
      </c>
      <c r="G14" s="1"/>
    </row>
    <row r="15" spans="1:7" x14ac:dyDescent="0.25">
      <c r="A15" s="1"/>
      <c r="B15" s="24" t="s">
        <v>240</v>
      </c>
      <c r="C15" s="21">
        <v>70414</v>
      </c>
      <c r="D15" s="14" t="s">
        <v>3</v>
      </c>
      <c r="E15" s="9">
        <v>298277.05</v>
      </c>
      <c r="F15" s="14" t="s">
        <v>3</v>
      </c>
      <c r="G15" s="1"/>
    </row>
    <row r="16" spans="1:7" x14ac:dyDescent="0.25">
      <c r="A16" s="1"/>
      <c r="B16" s="24" t="s">
        <v>241</v>
      </c>
      <c r="C16" s="21">
        <v>0</v>
      </c>
      <c r="D16" s="14" t="s">
        <v>3</v>
      </c>
      <c r="E16" s="9">
        <v>8011.5300000000007</v>
      </c>
      <c r="F16" s="14" t="s">
        <v>3</v>
      </c>
      <c r="G16" s="1"/>
    </row>
    <row r="17" spans="1:7" x14ac:dyDescent="0.25">
      <c r="A17" s="1"/>
      <c r="B17" s="24" t="s">
        <v>242</v>
      </c>
      <c r="C17" s="21">
        <v>0</v>
      </c>
      <c r="D17" s="14" t="s">
        <v>3</v>
      </c>
      <c r="E17" s="9">
        <v>21572.46</v>
      </c>
      <c r="F17" s="14" t="s">
        <v>3</v>
      </c>
      <c r="G17" s="1"/>
    </row>
    <row r="18" spans="1:7" x14ac:dyDescent="0.25">
      <c r="A18" s="1"/>
      <c r="B18" s="24" t="s">
        <v>243</v>
      </c>
      <c r="C18" s="21">
        <v>0</v>
      </c>
      <c r="D18" s="14" t="s">
        <v>3</v>
      </c>
      <c r="E18" s="9">
        <v>105640.12000000001</v>
      </c>
      <c r="F18" s="14" t="s">
        <v>3</v>
      </c>
      <c r="G18" s="1"/>
    </row>
    <row r="19" spans="1:7" x14ac:dyDescent="0.25">
      <c r="A19" s="1"/>
      <c r="B19" s="24" t="s">
        <v>244</v>
      </c>
      <c r="C19" s="21">
        <v>36255.379999999997</v>
      </c>
      <c r="D19" s="14" t="s">
        <v>3</v>
      </c>
      <c r="E19" s="9">
        <v>25587.39</v>
      </c>
      <c r="F19" s="14" t="s">
        <v>3</v>
      </c>
      <c r="G19" s="1"/>
    </row>
    <row r="20" spans="1:7" x14ac:dyDescent="0.25">
      <c r="A20" s="1"/>
      <c r="B20" s="24"/>
      <c r="C20" s="21"/>
      <c r="D20" s="14" t="s">
        <v>3</v>
      </c>
      <c r="E20" s="9"/>
      <c r="F20" s="14" t="s">
        <v>3</v>
      </c>
      <c r="G20" s="1"/>
    </row>
    <row r="21" spans="1:7" x14ac:dyDescent="0.25">
      <c r="A21" s="1"/>
      <c r="B21" s="24"/>
      <c r="C21" s="21"/>
      <c r="D21" s="14" t="s">
        <v>3</v>
      </c>
      <c r="E21" s="9"/>
      <c r="F21" s="14" t="s">
        <v>3</v>
      </c>
      <c r="G21" s="1"/>
    </row>
    <row r="22" spans="1:7" x14ac:dyDescent="0.25">
      <c r="A22" s="1"/>
      <c r="B22" s="33" t="s">
        <v>139</v>
      </c>
      <c r="C22" s="12">
        <f>SUM(C10:C21)</f>
        <v>291735.38</v>
      </c>
      <c r="D22" s="13" t="s">
        <v>3</v>
      </c>
      <c r="E22" s="12">
        <f>SUM(E10:E21)</f>
        <v>2647916.3899999997</v>
      </c>
      <c r="F22" s="13" t="s">
        <v>3</v>
      </c>
      <c r="G22" s="1"/>
    </row>
    <row r="23" spans="1:7" x14ac:dyDescent="0.25">
      <c r="A23" s="1"/>
      <c r="B23" s="33" t="s">
        <v>175</v>
      </c>
      <c r="C23" s="12">
        <f>C22*(1+'Fane 15. Nøgletal'!C10)</f>
        <v>311077.43569399999</v>
      </c>
      <c r="D23" s="13" t="s">
        <v>3</v>
      </c>
      <c r="E23" s="12">
        <f>E22*(1+'Fane 15. Nøgletal'!C10)</f>
        <v>2823473.2466569999</v>
      </c>
      <c r="F23" s="13" t="s">
        <v>3</v>
      </c>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x14ac:dyDescent="0.25">
      <c r="A51" s="1"/>
      <c r="B51" s="1"/>
      <c r="C51" s="1"/>
      <c r="D51" s="1"/>
      <c r="E51" s="1"/>
      <c r="F51" s="1"/>
      <c r="G51" s="1"/>
    </row>
    <row r="52" spans="1:7" x14ac:dyDescent="0.25">
      <c r="A52" s="1"/>
      <c r="B52" s="1"/>
      <c r="C52" s="1"/>
      <c r="D52" s="1"/>
      <c r="E52" s="1"/>
      <c r="F52" s="1"/>
      <c r="G52" s="1"/>
    </row>
  </sheetData>
  <sheetProtection algorithmName="SHA-512" hashValue="ZZu3gkqorclhxadN9UWvQOq30BFQro5YKOid26hxYY0FHrrnMKEB+ETXI2yCoUYfbCGI0ap0UXRZYMWO9iW1hQ==" saltValue="H/J/vzXdhIVZSnYPjkJdww==" spinCount="100000" sheet="1" objects="1" scenarios="1"/>
  <mergeCells count="1">
    <mergeCell ref="B3:F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7"/>
  <dimension ref="A1:G49"/>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42578125" style="2" bestFit="1"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4" t="s">
        <v>115</v>
      </c>
      <c r="C3" s="104"/>
      <c r="D3" s="104"/>
      <c r="E3" s="104"/>
      <c r="F3" s="104"/>
      <c r="G3" s="1"/>
    </row>
    <row r="4" spans="1:7" ht="15" customHeight="1" x14ac:dyDescent="0.25">
      <c r="A4" s="1"/>
      <c r="B4" s="104"/>
      <c r="C4" s="104"/>
      <c r="D4" s="104"/>
      <c r="E4" s="104"/>
      <c r="F4" s="10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08" t="s">
        <v>176</v>
      </c>
      <c r="C8" s="109"/>
      <c r="D8" s="109"/>
      <c r="E8" s="109"/>
      <c r="F8" s="110"/>
      <c r="G8" s="1"/>
    </row>
    <row r="9" spans="1:7" x14ac:dyDescent="0.25">
      <c r="A9" s="1"/>
      <c r="B9" s="80" t="s">
        <v>17</v>
      </c>
      <c r="C9" s="82" t="s">
        <v>11</v>
      </c>
      <c r="D9" s="81"/>
      <c r="E9" s="82" t="s">
        <v>27</v>
      </c>
      <c r="F9" s="32"/>
      <c r="G9" s="1"/>
    </row>
    <row r="10" spans="1:7" x14ac:dyDescent="0.25">
      <c r="A10" s="1"/>
      <c r="B10" s="24" t="s">
        <v>245</v>
      </c>
      <c r="C10" s="21"/>
      <c r="D10" s="14" t="s">
        <v>3</v>
      </c>
      <c r="E10" s="9"/>
      <c r="F10" s="14" t="s">
        <v>3</v>
      </c>
      <c r="G10" s="1"/>
    </row>
    <row r="11" spans="1:7" x14ac:dyDescent="0.25">
      <c r="A11" s="1"/>
      <c r="B11" s="24"/>
      <c r="C11" s="21"/>
      <c r="D11" s="14" t="s">
        <v>3</v>
      </c>
      <c r="E11" s="9"/>
      <c r="F11" s="14" t="s">
        <v>3</v>
      </c>
      <c r="G11" s="1"/>
    </row>
    <row r="12" spans="1:7" x14ac:dyDescent="0.25">
      <c r="A12" s="1"/>
      <c r="B12" s="24"/>
      <c r="C12" s="21"/>
      <c r="D12" s="14" t="s">
        <v>3</v>
      </c>
      <c r="E12" s="9"/>
      <c r="F12" s="14" t="s">
        <v>3</v>
      </c>
      <c r="G12" s="1"/>
    </row>
    <row r="13" spans="1:7" x14ac:dyDescent="0.25">
      <c r="A13" s="1"/>
      <c r="B13" s="33" t="s">
        <v>177</v>
      </c>
      <c r="C13" s="12">
        <f>SUM(C10:C12)</f>
        <v>0</v>
      </c>
      <c r="D13" s="13" t="s">
        <v>3</v>
      </c>
      <c r="E13" s="12">
        <f>SUM(E10:E12)</f>
        <v>0</v>
      </c>
      <c r="F13" s="13" t="s">
        <v>3</v>
      </c>
      <c r="G13" s="1"/>
    </row>
    <row r="14" spans="1:7" x14ac:dyDescent="0.25">
      <c r="A14" s="1"/>
      <c r="B14" s="33" t="s">
        <v>178</v>
      </c>
      <c r="C14" s="12">
        <f>C13*(1+'Fane 15. Nøgletal'!C10)^2</f>
        <v>0</v>
      </c>
      <c r="D14" s="13" t="s">
        <v>3</v>
      </c>
      <c r="E14" s="12">
        <f>E13*(1+'Fane 15. Nøgletal'!C10)^2</f>
        <v>0</v>
      </c>
      <c r="F14" s="13" t="s">
        <v>3</v>
      </c>
      <c r="G14" s="1"/>
    </row>
    <row r="15" spans="1:7" x14ac:dyDescent="0.25">
      <c r="A15" s="1"/>
      <c r="B15" s="1"/>
      <c r="C15" s="1"/>
      <c r="D15" s="1"/>
      <c r="E15" s="1"/>
      <c r="F15" s="1"/>
      <c r="G15" s="1"/>
    </row>
    <row r="16" spans="1:7" x14ac:dyDescent="0.25">
      <c r="A16" s="1"/>
      <c r="B16" s="127"/>
      <c r="C16" s="127"/>
      <c r="D16" s="127"/>
      <c r="E16" s="127"/>
      <c r="F16" s="127"/>
      <c r="G16" s="1"/>
    </row>
    <row r="17" spans="1:7" x14ac:dyDescent="0.25">
      <c r="A17" s="1"/>
      <c r="B17" s="47"/>
      <c r="C17" s="47"/>
      <c r="D17" s="47"/>
      <c r="E17" s="47"/>
      <c r="F17" s="48"/>
      <c r="G17" s="1"/>
    </row>
    <row r="18" spans="1:7" x14ac:dyDescent="0.25">
      <c r="A18" s="1"/>
      <c r="B18" s="49"/>
      <c r="C18" s="50"/>
      <c r="D18" s="51"/>
      <c r="E18" s="52"/>
      <c r="F18" s="51"/>
      <c r="G18" s="1"/>
    </row>
    <row r="19" spans="1:7" x14ac:dyDescent="0.25">
      <c r="A19" s="1"/>
      <c r="B19" s="49"/>
      <c r="C19" s="50"/>
      <c r="D19" s="51"/>
      <c r="E19" s="52"/>
      <c r="F19" s="51"/>
      <c r="G19" s="1"/>
    </row>
    <row r="20" spans="1:7" x14ac:dyDescent="0.25">
      <c r="A20" s="1"/>
      <c r="B20" s="53"/>
      <c r="C20" s="54"/>
      <c r="D20" s="55"/>
      <c r="E20" s="54"/>
      <c r="F20" s="55"/>
      <c r="G20" s="1"/>
    </row>
    <row r="21" spans="1:7" x14ac:dyDescent="0.25">
      <c r="A21" s="1"/>
      <c r="B21" s="53"/>
      <c r="C21" s="54"/>
      <c r="D21" s="55"/>
      <c r="E21" s="54"/>
      <c r="F21" s="55"/>
      <c r="G21" s="1"/>
    </row>
    <row r="22" spans="1:7" x14ac:dyDescent="0.25">
      <c r="A22" s="1"/>
      <c r="B22" s="46"/>
      <c r="C22" s="46"/>
      <c r="D22" s="46"/>
      <c r="E22" s="46"/>
      <c r="F22" s="46"/>
      <c r="G22" s="1"/>
    </row>
    <row r="23" spans="1:7" x14ac:dyDescent="0.25">
      <c r="A23" s="1"/>
      <c r="B23" s="47"/>
      <c r="C23" s="47"/>
      <c r="D23" s="47"/>
      <c r="E23" s="47"/>
      <c r="F23" s="48"/>
      <c r="G23" s="1"/>
    </row>
    <row r="24" spans="1:7" x14ac:dyDescent="0.25">
      <c r="A24" s="1"/>
      <c r="B24" s="49"/>
      <c r="C24" s="50"/>
      <c r="D24" s="51"/>
      <c r="E24" s="52"/>
      <c r="F24" s="51"/>
      <c r="G24" s="1"/>
    </row>
    <row r="25" spans="1:7" x14ac:dyDescent="0.25">
      <c r="A25" s="1"/>
      <c r="B25" s="49"/>
      <c r="C25" s="50"/>
      <c r="D25" s="51"/>
      <c r="E25" s="52"/>
      <c r="F25" s="51"/>
      <c r="G25" s="1"/>
    </row>
    <row r="26" spans="1:7" x14ac:dyDescent="0.25">
      <c r="A26" s="1"/>
      <c r="B26" s="53"/>
      <c r="C26" s="54"/>
      <c r="D26" s="55"/>
      <c r="E26" s="54"/>
      <c r="F26" s="55"/>
      <c r="G26" s="1"/>
    </row>
    <row r="27" spans="1:7" x14ac:dyDescent="0.25">
      <c r="A27" s="1"/>
      <c r="B27" s="53"/>
      <c r="C27" s="54"/>
      <c r="D27" s="55"/>
      <c r="E27" s="54"/>
      <c r="F27" s="55"/>
      <c r="G27" s="1"/>
    </row>
    <row r="28" spans="1:7" x14ac:dyDescent="0.25">
      <c r="A28" s="1"/>
      <c r="B28" s="46"/>
      <c r="C28" s="46"/>
      <c r="D28" s="46"/>
      <c r="E28" s="46"/>
      <c r="F28" s="46"/>
      <c r="G28" s="1"/>
    </row>
    <row r="29" spans="1:7" x14ac:dyDescent="0.25">
      <c r="A29" s="1"/>
      <c r="B29" s="127"/>
      <c r="C29" s="127"/>
      <c r="D29" s="127"/>
      <c r="E29" s="127"/>
      <c r="F29" s="127"/>
      <c r="G29" s="1"/>
    </row>
    <row r="30" spans="1:7" x14ac:dyDescent="0.25">
      <c r="A30" s="1"/>
      <c r="B30" s="47"/>
      <c r="C30" s="47"/>
      <c r="D30" s="47"/>
      <c r="E30" s="47"/>
      <c r="F30" s="48"/>
      <c r="G30" s="1"/>
    </row>
    <row r="31" spans="1:7" x14ac:dyDescent="0.25">
      <c r="A31" s="1"/>
      <c r="B31" s="49"/>
      <c r="C31" s="50"/>
      <c r="D31" s="51"/>
      <c r="E31" s="52"/>
      <c r="F31" s="51"/>
      <c r="G31" s="1"/>
    </row>
    <row r="32" spans="1:7" x14ac:dyDescent="0.25">
      <c r="A32" s="1"/>
      <c r="B32" s="49"/>
      <c r="C32" s="50"/>
      <c r="D32" s="51"/>
      <c r="E32" s="52"/>
      <c r="F32" s="51"/>
      <c r="G32" s="1"/>
    </row>
    <row r="33" spans="1:7" x14ac:dyDescent="0.25">
      <c r="A33" s="1"/>
      <c r="B33" s="53"/>
      <c r="C33" s="54"/>
      <c r="D33" s="55"/>
      <c r="E33" s="54"/>
      <c r="F33" s="55"/>
      <c r="G33" s="1"/>
    </row>
    <row r="34" spans="1:7" x14ac:dyDescent="0.25">
      <c r="A34" s="1"/>
      <c r="B34" s="53"/>
      <c r="C34" s="54"/>
      <c r="D34" s="55"/>
      <c r="E34" s="54"/>
      <c r="F34" s="55"/>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M4z/t43FsxEWW6o4/xhNUum/XLqjgHMfGrXesPJo4u8MnZGXxZy09swVs6riW5X1/E31MHtJXGdmLVEnY4UWWg==" saltValue="Y0Ho5NbM3fPEwb4E8bLFjQ==" spinCount="100000" sheet="1" objects="1" scenarios="1"/>
  <mergeCells count="4">
    <mergeCell ref="B29:F29"/>
    <mergeCell ref="B3:F4"/>
    <mergeCell ref="B8:F8"/>
    <mergeCell ref="B16:F1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3"/>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7" t="s">
        <v>116</v>
      </c>
      <c r="C3" s="107"/>
      <c r="D3" s="107"/>
      <c r="E3" s="1"/>
    </row>
    <row r="4" spans="1:5" ht="15" customHeight="1" x14ac:dyDescent="0.25">
      <c r="A4" s="1"/>
      <c r="B4" s="107"/>
      <c r="C4" s="107"/>
      <c r="D4" s="107"/>
      <c r="E4" s="1"/>
    </row>
    <row r="5" spans="1:5" x14ac:dyDescent="0.25">
      <c r="A5" s="1"/>
      <c r="B5" s="107"/>
      <c r="C5" s="107"/>
      <c r="D5" s="107"/>
      <c r="E5" s="1"/>
    </row>
    <row r="6" spans="1:5" x14ac:dyDescent="0.25">
      <c r="A6" s="1"/>
      <c r="B6" s="1"/>
      <c r="C6" s="1"/>
      <c r="D6" s="1"/>
      <c r="E6" s="1"/>
    </row>
    <row r="7" spans="1:5" x14ac:dyDescent="0.25">
      <c r="A7" s="1"/>
      <c r="B7" s="1"/>
      <c r="C7" s="1"/>
      <c r="D7" s="1"/>
      <c r="E7" s="1"/>
    </row>
    <row r="8" spans="1:5" ht="14.25" customHeight="1" x14ac:dyDescent="0.25">
      <c r="A8" s="1"/>
      <c r="B8" s="108" t="s">
        <v>73</v>
      </c>
      <c r="C8" s="109"/>
      <c r="D8" s="110"/>
      <c r="E8" s="1"/>
    </row>
    <row r="9" spans="1:5" x14ac:dyDescent="0.25">
      <c r="A9" s="1"/>
      <c r="B9" s="68" t="s">
        <v>179</v>
      </c>
      <c r="C9" s="9"/>
      <c r="D9" s="14" t="s">
        <v>3</v>
      </c>
      <c r="E9" s="1"/>
    </row>
    <row r="10" spans="1:5" x14ac:dyDescent="0.25">
      <c r="A10" s="1"/>
      <c r="B10" s="64" t="s">
        <v>10</v>
      </c>
      <c r="C10" s="9">
        <f>-C9*'Fane 5. Individuelt eff. krav'!C9</f>
        <v>0</v>
      </c>
      <c r="D10" s="14" t="s">
        <v>3</v>
      </c>
      <c r="E10" s="1"/>
    </row>
    <row r="11" spans="1:5" x14ac:dyDescent="0.25">
      <c r="A11" s="1"/>
      <c r="B11" s="64" t="s">
        <v>22</v>
      </c>
      <c r="C11" s="9">
        <f>-C9*'Fane 15. Nøgletal'!C21</f>
        <v>0</v>
      </c>
      <c r="D11" s="14" t="s">
        <v>3</v>
      </c>
      <c r="E11" s="1"/>
    </row>
    <row r="12" spans="1:5" x14ac:dyDescent="0.25">
      <c r="A12" s="1"/>
      <c r="B12" s="76" t="s">
        <v>74</v>
      </c>
      <c r="C12" s="12">
        <f>SUM(C9:C11)*(1+'Fane 15. Nøgletal'!C9)^2</f>
        <v>0</v>
      </c>
      <c r="D12" s="13" t="s">
        <v>3</v>
      </c>
      <c r="E12" s="1"/>
    </row>
    <row r="13" spans="1:5" x14ac:dyDescent="0.25">
      <c r="A13" s="1"/>
      <c r="B13" s="1"/>
      <c r="C13" s="1"/>
      <c r="D13" s="1"/>
      <c r="E13" s="1"/>
    </row>
    <row r="14" spans="1:5" ht="15" customHeight="1" x14ac:dyDescent="0.25">
      <c r="A14" s="1"/>
      <c r="B14" s="108" t="s">
        <v>84</v>
      </c>
      <c r="C14" s="109"/>
      <c r="D14" s="110"/>
      <c r="E14" s="1"/>
    </row>
    <row r="15" spans="1:5" x14ac:dyDescent="0.25">
      <c r="A15" s="1"/>
      <c r="B15" s="68" t="s">
        <v>179</v>
      </c>
      <c r="C15" s="9"/>
      <c r="D15" s="14" t="s">
        <v>3</v>
      </c>
      <c r="E15" s="1"/>
    </row>
    <row r="16" spans="1:5" x14ac:dyDescent="0.25">
      <c r="A16" s="1"/>
      <c r="B16" s="64" t="s">
        <v>10</v>
      </c>
      <c r="C16" s="9">
        <f>-C15*'Fane 5. Individuelt eff. krav'!C9</f>
        <v>0</v>
      </c>
      <c r="D16" s="14" t="s">
        <v>3</v>
      </c>
      <c r="E16" s="1"/>
    </row>
    <row r="17" spans="1:5" x14ac:dyDescent="0.25">
      <c r="A17" s="1"/>
      <c r="B17" s="64" t="s">
        <v>22</v>
      </c>
      <c r="C17" s="9">
        <f>-C15*'Fane 15. Nøgletal'!C21</f>
        <v>0</v>
      </c>
      <c r="D17" s="14" t="s">
        <v>3</v>
      </c>
      <c r="E17" s="1"/>
    </row>
    <row r="18" spans="1:5" x14ac:dyDescent="0.25">
      <c r="A18" s="1"/>
      <c r="B18" s="76" t="s">
        <v>85</v>
      </c>
      <c r="C18" s="12">
        <f>SUM(C15:C17)*(1+'Fane 15. Nøgletal'!C10)^3</f>
        <v>0</v>
      </c>
      <c r="D18" s="13" t="s">
        <v>3</v>
      </c>
      <c r="E18" s="1"/>
    </row>
    <row r="19" spans="1:5" x14ac:dyDescent="0.25">
      <c r="A19" s="1"/>
      <c r="B19" s="1"/>
      <c r="C19" s="1"/>
      <c r="D19" s="1"/>
      <c r="E19" s="1"/>
    </row>
    <row r="20" spans="1:5" ht="15" customHeight="1" x14ac:dyDescent="0.25">
      <c r="A20" s="1"/>
      <c r="B20" s="108" t="s">
        <v>140</v>
      </c>
      <c r="C20" s="109"/>
      <c r="D20" s="110"/>
      <c r="E20" s="1"/>
    </row>
    <row r="21" spans="1:5" x14ac:dyDescent="0.25">
      <c r="A21" s="1"/>
      <c r="B21" s="68" t="s">
        <v>179</v>
      </c>
      <c r="C21" s="9"/>
      <c r="D21" s="14" t="s">
        <v>3</v>
      </c>
      <c r="E21" s="1"/>
    </row>
    <row r="22" spans="1:5" x14ac:dyDescent="0.25">
      <c r="A22" s="1"/>
      <c r="B22" s="64" t="s">
        <v>10</v>
      </c>
      <c r="C22" s="9">
        <f>-C21*'Fane 5. Individuelt eff. krav'!C9</f>
        <v>0</v>
      </c>
      <c r="D22" s="14" t="s">
        <v>3</v>
      </c>
      <c r="E22" s="1"/>
    </row>
    <row r="23" spans="1:5" x14ac:dyDescent="0.25">
      <c r="A23" s="1"/>
      <c r="B23" s="64" t="s">
        <v>22</v>
      </c>
      <c r="C23" s="9">
        <f>-C21*'Fane 15. Nøgletal'!C21</f>
        <v>0</v>
      </c>
      <c r="D23" s="14" t="s">
        <v>3</v>
      </c>
      <c r="E23" s="1"/>
    </row>
    <row r="24" spans="1:5" x14ac:dyDescent="0.25">
      <c r="A24" s="1"/>
      <c r="B24" s="76" t="s">
        <v>141</v>
      </c>
      <c r="C24" s="12">
        <f>SUM(C21:C23)*(1+'Fane 15. Nøgletal'!C10)^4</f>
        <v>0</v>
      </c>
      <c r="D24" s="13" t="s">
        <v>3</v>
      </c>
      <c r="E24" s="1"/>
    </row>
    <row r="25" spans="1:5" x14ac:dyDescent="0.25">
      <c r="A25" s="1"/>
      <c r="B25" s="1"/>
      <c r="C25" s="1"/>
      <c r="D25" s="1"/>
      <c r="E25" s="1"/>
    </row>
    <row r="26" spans="1:5" ht="15" customHeight="1" x14ac:dyDescent="0.25">
      <c r="A26" s="1"/>
      <c r="B26" s="108" t="s">
        <v>180</v>
      </c>
      <c r="C26" s="109"/>
      <c r="D26" s="110"/>
      <c r="E26" s="1"/>
    </row>
    <row r="27" spans="1:5" ht="14.25" customHeight="1" x14ac:dyDescent="0.25">
      <c r="A27" s="1"/>
      <c r="B27" s="68" t="s">
        <v>179</v>
      </c>
      <c r="C27" s="9"/>
      <c r="D27" s="14" t="s">
        <v>3</v>
      </c>
      <c r="E27" s="1"/>
    </row>
    <row r="28" spans="1:5" x14ac:dyDescent="0.25">
      <c r="A28" s="1"/>
      <c r="B28" s="64" t="s">
        <v>10</v>
      </c>
      <c r="C28" s="9">
        <f>-C27*'Fane 5. Individuelt eff. krav'!C9</f>
        <v>0</v>
      </c>
      <c r="D28" s="14" t="s">
        <v>3</v>
      </c>
      <c r="E28" s="1"/>
    </row>
    <row r="29" spans="1:5" x14ac:dyDescent="0.25">
      <c r="A29" s="1"/>
      <c r="B29" s="64" t="s">
        <v>22</v>
      </c>
      <c r="C29" s="9">
        <f>-C27*'Fane 15. Nøgletal'!C21</f>
        <v>0</v>
      </c>
      <c r="D29" s="14" t="s">
        <v>3</v>
      </c>
      <c r="E29" s="1"/>
    </row>
    <row r="30" spans="1:5" x14ac:dyDescent="0.25">
      <c r="A30" s="1"/>
      <c r="B30" s="76" t="s">
        <v>181</v>
      </c>
      <c r="C30" s="12">
        <f>SUM(C27:C29)*(1+'Fane 15. Nøgletal'!C10)^5</f>
        <v>0</v>
      </c>
      <c r="D30" s="13" t="s">
        <v>3</v>
      </c>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sheetData>
  <sheetProtection algorithmName="SHA-512" hashValue="UCUco3+zSKk1coJ9jgN5K+msY4IEIAKrnDgpWKopqD4+iD9MsJd65aD7fkjo1LrguhoyOJ7kDzoM8MxY8AOyPQ==" saltValue="ctEGHPq1UCMTcmBOJx5L8w==" spinCount="100000" sheet="1" objects="1" scenarios="1"/>
  <mergeCells count="5">
    <mergeCell ref="B26:D26"/>
    <mergeCell ref="B20:D20"/>
    <mergeCell ref="B3:D5"/>
    <mergeCell ref="B14:D14"/>
    <mergeCell ref="B8:D8"/>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8"/>
  <dimension ref="A1:G47"/>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140625" style="2" customWidth="1"/>
    <col min="5" max="5" width="13.710937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7" t="s">
        <v>117</v>
      </c>
      <c r="C3" s="107"/>
      <c r="D3" s="107"/>
      <c r="E3" s="107"/>
      <c r="F3" s="107"/>
      <c r="G3" s="1"/>
    </row>
    <row r="4" spans="1:7" ht="15" customHeight="1" x14ac:dyDescent="0.25">
      <c r="A4" s="1"/>
      <c r="B4" s="107"/>
      <c r="C4" s="107"/>
      <c r="D4" s="107"/>
      <c r="E4" s="107"/>
      <c r="F4" s="107"/>
      <c r="G4" s="1"/>
    </row>
    <row r="5" spans="1:7" x14ac:dyDescent="0.25">
      <c r="A5" s="1"/>
      <c r="B5" s="107"/>
      <c r="C5" s="107"/>
      <c r="D5" s="107"/>
      <c r="E5" s="107"/>
      <c r="F5" s="107"/>
      <c r="G5" s="1"/>
    </row>
    <row r="6" spans="1:7" x14ac:dyDescent="0.25">
      <c r="A6" s="1"/>
      <c r="B6" s="1"/>
      <c r="C6" s="1"/>
      <c r="D6" s="1"/>
      <c r="E6" s="1"/>
      <c r="F6" s="1"/>
      <c r="G6" s="1"/>
    </row>
    <row r="7" spans="1:7" x14ac:dyDescent="0.25">
      <c r="A7" s="1"/>
      <c r="B7" s="1"/>
      <c r="C7" s="1"/>
      <c r="D7" s="1"/>
      <c r="E7" s="1"/>
      <c r="F7" s="1"/>
      <c r="G7" s="1"/>
    </row>
    <row r="8" spans="1:7" x14ac:dyDescent="0.25">
      <c r="A8" s="1"/>
      <c r="B8" s="108" t="s">
        <v>66</v>
      </c>
      <c r="C8" s="109"/>
      <c r="D8" s="109"/>
      <c r="E8" s="109"/>
      <c r="F8" s="110"/>
      <c r="G8" s="1"/>
    </row>
    <row r="9" spans="1:7" ht="15" customHeight="1" x14ac:dyDescent="0.25">
      <c r="A9" s="1"/>
      <c r="B9" s="31" t="s">
        <v>67</v>
      </c>
      <c r="C9" s="27" t="s">
        <v>11</v>
      </c>
      <c r="D9" s="32"/>
      <c r="E9" s="27" t="s">
        <v>27</v>
      </c>
      <c r="F9" s="32"/>
      <c r="G9" s="1"/>
    </row>
    <row r="10" spans="1:7" ht="26.25" x14ac:dyDescent="0.25">
      <c r="A10" s="1"/>
      <c r="B10" s="70" t="s">
        <v>222</v>
      </c>
      <c r="C10" s="9">
        <v>0</v>
      </c>
      <c r="D10" s="14" t="s">
        <v>3</v>
      </c>
      <c r="E10" s="9">
        <v>0</v>
      </c>
      <c r="F10" s="14" t="s">
        <v>3</v>
      </c>
      <c r="G10" s="1"/>
    </row>
    <row r="11" spans="1:7" ht="28.5" customHeight="1" x14ac:dyDescent="0.25">
      <c r="A11" s="1"/>
      <c r="B11" s="20" t="s">
        <v>142</v>
      </c>
      <c r="C11" s="12">
        <f>SUM(C10:C10)</f>
        <v>0</v>
      </c>
      <c r="D11" s="13" t="s">
        <v>3</v>
      </c>
      <c r="E11" s="12">
        <f>SUM(E10:E10)</f>
        <v>0</v>
      </c>
      <c r="F11" s="13" t="s">
        <v>3</v>
      </c>
      <c r="G11" s="1"/>
    </row>
    <row r="12" spans="1:7" ht="27" customHeight="1" x14ac:dyDescent="0.25">
      <c r="A12" s="1"/>
      <c r="B12" s="20" t="s">
        <v>182</v>
      </c>
      <c r="C12" s="12">
        <f>C11*(1+'Fane 15. Nøgletal'!C10)</f>
        <v>0</v>
      </c>
      <c r="D12" s="13" t="s">
        <v>3</v>
      </c>
      <c r="E12" s="12">
        <f>E11*(1+'Fane 15. Nøgletal'!C10)</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hidden="1" x14ac:dyDescent="0.25"/>
    <row r="47" spans="1:7" hidden="1" x14ac:dyDescent="0.25"/>
  </sheetData>
  <sheetProtection algorithmName="SHA-512" hashValue="n96OVKJNNvMGRabnL/w/mF6NJYwD8+qyjcixcEdspogHMZ8Jqb752/Zk0YGGx16IJkeszQ43Yu14MSYnxOEgYg==" saltValue="w9+m93Akzv1ephuCUah3KA==" spinCount="100000" sheet="1" objects="1" scenarios="1"/>
  <mergeCells count="2">
    <mergeCell ref="B8:F8"/>
    <mergeCell ref="B3:F5"/>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14"/>
  <dimension ref="A1:G49"/>
  <sheetViews>
    <sheetView showGridLines="0" zoomScaleNormal="100" workbookViewId="0"/>
  </sheetViews>
  <sheetFormatPr defaultColWidth="0" defaultRowHeight="15" zeroHeight="1" x14ac:dyDescent="0.25"/>
  <cols>
    <col min="1" max="1" width="5.140625" style="2" customWidth="1"/>
    <col min="2" max="2" width="37.5703125" style="2" customWidth="1"/>
    <col min="3" max="3" width="13.7109375" style="2" customWidth="1"/>
    <col min="4" max="4" width="3.28515625" style="2" customWidth="1"/>
    <col min="5" max="5" width="13.7109375" style="2" customWidth="1"/>
    <col min="6" max="6" width="3.28515625" style="2" customWidth="1"/>
    <col min="7" max="7" width="5.140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7" t="s">
        <v>118</v>
      </c>
      <c r="C3" s="107"/>
      <c r="D3" s="107"/>
      <c r="E3" s="107"/>
      <c r="F3" s="107"/>
      <c r="G3" s="1"/>
    </row>
    <row r="4" spans="1:7" ht="15" customHeight="1" x14ac:dyDescent="0.25">
      <c r="A4" s="1"/>
      <c r="B4" s="107"/>
      <c r="C4" s="107"/>
      <c r="D4" s="107"/>
      <c r="E4" s="107"/>
      <c r="F4" s="107"/>
      <c r="G4" s="1"/>
    </row>
    <row r="5" spans="1:7" x14ac:dyDescent="0.25">
      <c r="A5" s="1"/>
      <c r="B5" s="107"/>
      <c r="C5" s="107"/>
      <c r="D5" s="107"/>
      <c r="E5" s="107"/>
      <c r="F5" s="107"/>
      <c r="G5" s="1"/>
    </row>
    <row r="6" spans="1:7" x14ac:dyDescent="0.25">
      <c r="A6" s="1"/>
      <c r="B6" s="1"/>
      <c r="C6" s="1"/>
      <c r="D6" s="1"/>
      <c r="E6" s="1"/>
      <c r="F6" s="1"/>
      <c r="G6" s="1"/>
    </row>
    <row r="7" spans="1:7" x14ac:dyDescent="0.25">
      <c r="A7" s="1"/>
      <c r="B7" s="1"/>
      <c r="C7" s="1"/>
      <c r="D7" s="1"/>
      <c r="E7" s="1"/>
      <c r="F7" s="1"/>
      <c r="G7" s="1"/>
    </row>
    <row r="8" spans="1:7" ht="15" customHeight="1" x14ac:dyDescent="0.25">
      <c r="A8" s="1"/>
      <c r="B8" s="108" t="s">
        <v>183</v>
      </c>
      <c r="C8" s="109"/>
      <c r="D8" s="109"/>
      <c r="E8" s="109"/>
      <c r="F8" s="110"/>
      <c r="G8" s="1"/>
    </row>
    <row r="9" spans="1:7" x14ac:dyDescent="0.25">
      <c r="A9" s="1"/>
      <c r="B9" s="31" t="s">
        <v>18</v>
      </c>
      <c r="C9" s="128" t="s">
        <v>11</v>
      </c>
      <c r="D9" s="129"/>
      <c r="E9" s="128" t="s">
        <v>27</v>
      </c>
      <c r="F9" s="129"/>
      <c r="G9" s="1"/>
    </row>
    <row r="10" spans="1:7" x14ac:dyDescent="0.25">
      <c r="A10" s="1"/>
      <c r="B10" s="70" t="s">
        <v>223</v>
      </c>
      <c r="C10" s="9">
        <v>0</v>
      </c>
      <c r="D10" s="14" t="s">
        <v>3</v>
      </c>
      <c r="E10" s="9">
        <v>0</v>
      </c>
      <c r="F10" s="14" t="s">
        <v>3</v>
      </c>
      <c r="G10" s="1"/>
    </row>
    <row r="11" spans="1:7" x14ac:dyDescent="0.25">
      <c r="A11" s="1"/>
      <c r="B11" s="33" t="s">
        <v>143</v>
      </c>
      <c r="C11" s="12">
        <f>SUM(C10:C10)</f>
        <v>0</v>
      </c>
      <c r="D11" s="13" t="s">
        <v>3</v>
      </c>
      <c r="E11" s="12">
        <f>SUM(E10:E10)</f>
        <v>0</v>
      </c>
      <c r="F11" s="13" t="s">
        <v>3</v>
      </c>
      <c r="G11" s="1"/>
    </row>
    <row r="12" spans="1:7" x14ac:dyDescent="0.25">
      <c r="A12" s="1"/>
      <c r="B12" s="33" t="s">
        <v>216</v>
      </c>
      <c r="C12" s="12">
        <f>C11*(1+'Fane 15. Nøgletal'!C10)^2</f>
        <v>0</v>
      </c>
      <c r="D12" s="13" t="s">
        <v>3</v>
      </c>
      <c r="E12" s="12">
        <f>E11*(1+'Fane 15. Nøgletal'!C10)^2</f>
        <v>0</v>
      </c>
      <c r="F12" s="13" t="s">
        <v>3</v>
      </c>
      <c r="G12" s="1"/>
    </row>
    <row r="13" spans="1:7" x14ac:dyDescent="0.25">
      <c r="A13" s="1"/>
      <c r="B13" s="1"/>
      <c r="C13" s="1"/>
      <c r="D13" s="1"/>
      <c r="E13" s="1"/>
      <c r="F13" s="1"/>
      <c r="G13" s="1"/>
    </row>
    <row r="14" spans="1:7" x14ac:dyDescent="0.25">
      <c r="A14" s="1"/>
      <c r="B14" s="127"/>
      <c r="C14" s="127"/>
      <c r="D14" s="127"/>
      <c r="E14" s="127"/>
      <c r="F14" s="127"/>
      <c r="G14" s="1"/>
    </row>
    <row r="15" spans="1:7" x14ac:dyDescent="0.25">
      <c r="A15" s="1"/>
      <c r="B15" s="48"/>
      <c r="C15" s="48"/>
      <c r="D15" s="48"/>
      <c r="E15" s="48"/>
      <c r="F15" s="48"/>
      <c r="G15" s="1"/>
    </row>
    <row r="16" spans="1:7" x14ac:dyDescent="0.25">
      <c r="A16" s="1"/>
      <c r="B16" s="49"/>
      <c r="C16" s="52"/>
      <c r="D16" s="51"/>
      <c r="E16" s="52"/>
      <c r="F16" s="51"/>
      <c r="G16" s="1"/>
    </row>
    <row r="17" spans="1:7" x14ac:dyDescent="0.25">
      <c r="A17" s="1"/>
      <c r="B17" s="49"/>
      <c r="C17" s="52"/>
      <c r="D17" s="51"/>
      <c r="E17" s="52"/>
      <c r="F17" s="51"/>
      <c r="G17" s="1"/>
    </row>
    <row r="18" spans="1:7" x14ac:dyDescent="0.25">
      <c r="A18" s="1"/>
      <c r="B18" s="53"/>
      <c r="C18" s="54"/>
      <c r="D18" s="55"/>
      <c r="E18" s="54"/>
      <c r="F18" s="55"/>
      <c r="G18" s="1"/>
    </row>
    <row r="19" spans="1:7" x14ac:dyDescent="0.25">
      <c r="A19" s="1"/>
      <c r="B19" s="53"/>
      <c r="C19" s="54"/>
      <c r="D19" s="55"/>
      <c r="E19" s="54"/>
      <c r="F19" s="55"/>
      <c r="G19" s="1"/>
    </row>
    <row r="20" spans="1:7" x14ac:dyDescent="0.25">
      <c r="A20" s="1"/>
      <c r="B20" s="46"/>
      <c r="C20" s="46"/>
      <c r="D20" s="46"/>
      <c r="E20" s="46"/>
      <c r="F20" s="46"/>
      <c r="G20" s="1"/>
    </row>
    <row r="21" spans="1:7" x14ac:dyDescent="0.25">
      <c r="A21" s="1"/>
      <c r="B21" s="127"/>
      <c r="C21" s="127"/>
      <c r="D21" s="127"/>
      <c r="E21" s="127"/>
      <c r="F21" s="127"/>
      <c r="G21" s="1"/>
    </row>
    <row r="22" spans="1:7" x14ac:dyDescent="0.25">
      <c r="A22" s="1"/>
      <c r="B22" s="48"/>
      <c r="C22" s="48"/>
      <c r="D22" s="48"/>
      <c r="E22" s="48"/>
      <c r="F22" s="48"/>
      <c r="G22" s="1"/>
    </row>
    <row r="23" spans="1:7" x14ac:dyDescent="0.25">
      <c r="A23" s="1"/>
      <c r="B23" s="49"/>
      <c r="C23" s="52"/>
      <c r="D23" s="51"/>
      <c r="E23" s="52"/>
      <c r="F23" s="51"/>
      <c r="G23" s="1"/>
    </row>
    <row r="24" spans="1:7" x14ac:dyDescent="0.25">
      <c r="A24" s="1"/>
      <c r="B24" s="53"/>
      <c r="C24" s="54"/>
      <c r="D24" s="55"/>
      <c r="E24" s="54"/>
      <c r="F24" s="55"/>
      <c r="G24" s="1"/>
    </row>
    <row r="25" spans="1:7" x14ac:dyDescent="0.25">
      <c r="A25" s="1"/>
      <c r="B25" s="53"/>
      <c r="C25" s="54"/>
      <c r="D25" s="55"/>
      <c r="E25" s="54"/>
      <c r="F25" s="55"/>
      <c r="G25" s="1"/>
    </row>
    <row r="26" spans="1:7" x14ac:dyDescent="0.25">
      <c r="A26" s="1"/>
      <c r="B26" s="46"/>
      <c r="C26" s="46"/>
      <c r="D26" s="46"/>
      <c r="E26" s="46"/>
      <c r="F26" s="46"/>
      <c r="G26" s="1"/>
    </row>
    <row r="27" spans="1:7" x14ac:dyDescent="0.25">
      <c r="A27" s="1"/>
      <c r="B27" s="127"/>
      <c r="C27" s="127"/>
      <c r="D27" s="127"/>
      <c r="E27" s="127"/>
      <c r="F27" s="127"/>
      <c r="G27" s="1"/>
    </row>
    <row r="28" spans="1:7" x14ac:dyDescent="0.25">
      <c r="A28" s="1"/>
      <c r="B28" s="48"/>
      <c r="C28" s="48"/>
      <c r="D28" s="48"/>
      <c r="E28" s="48"/>
      <c r="F28" s="48"/>
      <c r="G28" s="1"/>
    </row>
    <row r="29" spans="1:7" x14ac:dyDescent="0.25">
      <c r="A29" s="1"/>
      <c r="B29" s="49"/>
      <c r="C29" s="52"/>
      <c r="D29" s="51"/>
      <c r="E29" s="52"/>
      <c r="F29" s="51"/>
      <c r="G29" s="1"/>
    </row>
    <row r="30" spans="1:7" x14ac:dyDescent="0.25">
      <c r="A30" s="1"/>
      <c r="B30" s="53"/>
      <c r="C30" s="54"/>
      <c r="D30" s="55"/>
      <c r="E30" s="54"/>
      <c r="F30" s="55"/>
      <c r="G30" s="1"/>
    </row>
    <row r="31" spans="1:7" x14ac:dyDescent="0.25">
      <c r="A31" s="1"/>
      <c r="B31" s="53"/>
      <c r="C31" s="54"/>
      <c r="D31" s="55"/>
      <c r="E31" s="54"/>
      <c r="F31" s="55"/>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cqQj14XUBNygQMK0wA7x5E16N9dxcl3LbtD20qscAxs5Q3iCRSnFvQ3Nj5RlHjTrZlT/fZOJnJpTANfC5vyYJA==" saltValue="WAG6Nh0Isph9vT8W28WdCg==" spinCount="100000" sheet="1" objects="1" scenarios="1"/>
  <mergeCells count="7">
    <mergeCell ref="B3:F5"/>
    <mergeCell ref="B27:F27"/>
    <mergeCell ref="B8:F8"/>
    <mergeCell ref="B14:F14"/>
    <mergeCell ref="B21:F21"/>
    <mergeCell ref="E9:F9"/>
    <mergeCell ref="C9:D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155</v>
      </c>
      <c r="C3" s="104"/>
      <c r="D3" s="104"/>
      <c r="E3" s="1"/>
    </row>
    <row r="4" spans="1:5" ht="15" customHeight="1" x14ac:dyDescent="0.25">
      <c r="A4" s="1"/>
      <c r="B4" s="104"/>
      <c r="C4" s="104"/>
      <c r="D4" s="10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x14ac:dyDescent="0.25">
      <c r="A9" s="1"/>
      <c r="B9" s="29" t="s">
        <v>90</v>
      </c>
      <c r="C9" s="7">
        <f>'Fane 3. Omkostninger i ØR2024'!C20</f>
        <v>119476920.27337766</v>
      </c>
      <c r="D9" s="8" t="s">
        <v>3</v>
      </c>
      <c r="E9" s="1"/>
    </row>
    <row r="10" spans="1:5" ht="17.25" customHeight="1" x14ac:dyDescent="0.25">
      <c r="A10" s="1"/>
      <c r="B10" s="64" t="s">
        <v>35</v>
      </c>
      <c r="C10" s="7">
        <f>'Fane 11.1. Varige tillæg'!C23</f>
        <v>311077.43569399999</v>
      </c>
      <c r="D10" s="8" t="s">
        <v>3</v>
      </c>
      <c r="E10" s="1"/>
    </row>
    <row r="11" spans="1:5" ht="17.25" customHeight="1" x14ac:dyDescent="0.25">
      <c r="A11" s="1"/>
      <c r="B11" s="64" t="s">
        <v>36</v>
      </c>
      <c r="C11" s="9">
        <f>'Fane 11.1. Varige tillæg'!E23</f>
        <v>2823473.2466569999</v>
      </c>
      <c r="D11" s="8" t="s">
        <v>3</v>
      </c>
      <c r="E11" s="1"/>
    </row>
    <row r="12" spans="1:5" ht="17.25" customHeight="1" x14ac:dyDescent="0.25">
      <c r="A12" s="1"/>
      <c r="B12" s="64" t="s">
        <v>25</v>
      </c>
      <c r="C12" s="9">
        <f>-'Fane 14. Bortfald'!C12</f>
        <v>0</v>
      </c>
      <c r="D12" s="8" t="s">
        <v>3</v>
      </c>
      <c r="E12" s="1"/>
    </row>
    <row r="13" spans="1:5" ht="17.25" customHeight="1" x14ac:dyDescent="0.25">
      <c r="A13" s="1"/>
      <c r="B13" s="64" t="s">
        <v>24</v>
      </c>
      <c r="C13" s="9">
        <f>-'Fane 14. Bortfald'!E12</f>
        <v>0</v>
      </c>
      <c r="D13" s="8" t="s">
        <v>3</v>
      </c>
      <c r="E13" s="1"/>
    </row>
    <row r="14" spans="1:5" ht="17.25" customHeight="1" x14ac:dyDescent="0.25">
      <c r="A14" s="1"/>
      <c r="B14" s="64" t="s">
        <v>62</v>
      </c>
      <c r="C14" s="9">
        <f>'Fane 13. Tilknyttet virksomhed'!C12</f>
        <v>0</v>
      </c>
      <c r="D14" s="8" t="s">
        <v>3</v>
      </c>
      <c r="E14" s="1"/>
    </row>
    <row r="15" spans="1:5" ht="17.25" customHeight="1" x14ac:dyDescent="0.25">
      <c r="A15" s="1"/>
      <c r="B15" s="64" t="s">
        <v>63</v>
      </c>
      <c r="C15" s="9">
        <f>'Fane 13. Tilknyttet virksomhed'!E12</f>
        <v>0</v>
      </c>
      <c r="D15" s="8" t="s">
        <v>3</v>
      </c>
      <c r="E15" s="1"/>
    </row>
    <row r="16" spans="1:5" ht="17.25" customHeight="1" x14ac:dyDescent="0.25">
      <c r="A16" s="1"/>
      <c r="B16" s="64" t="s">
        <v>19</v>
      </c>
      <c r="C16" s="38">
        <f>SUM(C9)*'Fane 15. Nøgletal'!C9+SUM(C10:C11,C14:C15)*'Fane 15. Nøgletal'!C10</f>
        <v>9861555.8683287855</v>
      </c>
      <c r="D16" s="8" t="s">
        <v>3</v>
      </c>
      <c r="E16" s="1"/>
    </row>
    <row r="17" spans="1:5" ht="17.25" customHeight="1" x14ac:dyDescent="0.25">
      <c r="A17" s="1"/>
      <c r="B17" s="64" t="s">
        <v>10</v>
      </c>
      <c r="C17" s="38">
        <f>-SUM(C9,C10:C16)*'Fane 5. Individuelt eff. krav'!C9</f>
        <v>-26624.015600529547</v>
      </c>
      <c r="D17" s="8" t="s">
        <v>3</v>
      </c>
      <c r="E17" s="1"/>
    </row>
    <row r="18" spans="1:5" ht="17.25" customHeight="1" x14ac:dyDescent="0.25">
      <c r="A18" s="1"/>
      <c r="B18" s="64" t="s">
        <v>22</v>
      </c>
      <c r="C18" s="38">
        <f>-'Fane 4.1. Gen. krav - drift'!C17</f>
        <v>-905968.56238170515</v>
      </c>
      <c r="D18" s="8" t="s">
        <v>3</v>
      </c>
      <c r="E18" s="1"/>
    </row>
    <row r="19" spans="1:5" ht="17.25" customHeight="1" x14ac:dyDescent="0.25">
      <c r="A19" s="1"/>
      <c r="B19" s="64" t="s">
        <v>23</v>
      </c>
      <c r="C19" s="38">
        <f>-'Fane 4.2. Gen. krav - anlæg'!C17</f>
        <v>0</v>
      </c>
      <c r="D19" s="8" t="s">
        <v>3</v>
      </c>
      <c r="E19" s="43"/>
    </row>
    <row r="20" spans="1:5" ht="17.25" customHeight="1" x14ac:dyDescent="0.25">
      <c r="A20" s="1"/>
      <c r="B20" s="82" t="s">
        <v>21</v>
      </c>
      <c r="C20" s="10">
        <f>SUM(C9:C19)</f>
        <v>131540434.2460752</v>
      </c>
      <c r="D20" s="11" t="s">
        <v>3</v>
      </c>
      <c r="E20" s="1"/>
    </row>
    <row r="21" spans="1:5" ht="15" customHeight="1" x14ac:dyDescent="0.25">
      <c r="A21" s="1"/>
      <c r="B21" s="33" t="s">
        <v>12</v>
      </c>
      <c r="C21" s="28"/>
      <c r="D21" s="19"/>
      <c r="E21" s="1"/>
    </row>
    <row r="22" spans="1:5" ht="15" customHeight="1" x14ac:dyDescent="0.25">
      <c r="A22" s="1"/>
      <c r="B22" s="31" t="s">
        <v>12</v>
      </c>
      <c r="C22" s="10">
        <f>'Fane 6. Ikke-påvirkelige omk.'!C19+'Fane 6. Ikke-påvirkelige omk.'!C23+'Fane 6. Ikke-påvirkelige omk.'!C31</f>
        <v>6265908.4286680287</v>
      </c>
      <c r="D22" s="11" t="s">
        <v>3</v>
      </c>
      <c r="E22" s="1"/>
    </row>
    <row r="23" spans="1:5" ht="15" customHeight="1" x14ac:dyDescent="0.25">
      <c r="A23" s="1"/>
      <c r="B23" s="33" t="s">
        <v>42</v>
      </c>
      <c r="C23" s="28"/>
      <c r="D23" s="19"/>
      <c r="E23" s="1"/>
    </row>
    <row r="24" spans="1:5" ht="15" customHeight="1" x14ac:dyDescent="0.25">
      <c r="A24" s="1"/>
      <c r="B24" s="82" t="s">
        <v>42</v>
      </c>
      <c r="C24" s="10">
        <f>'Fane 12. Periodevise driftsomk.'!C12</f>
        <v>0</v>
      </c>
      <c r="D24" s="11" t="s">
        <v>3</v>
      </c>
      <c r="E24" s="1"/>
    </row>
    <row r="25" spans="1:5" ht="15" customHeight="1" x14ac:dyDescent="0.25">
      <c r="A25" s="1"/>
      <c r="B25" s="41" t="s">
        <v>41</v>
      </c>
      <c r="C25" s="39"/>
      <c r="D25" s="40"/>
      <c r="E25" s="1"/>
    </row>
    <row r="26" spans="1:5" ht="15" customHeight="1" x14ac:dyDescent="0.25">
      <c r="A26" s="1"/>
      <c r="B26" s="64" t="s">
        <v>89</v>
      </c>
      <c r="C26" s="38">
        <f>'Fane 11.2. Engangstillæg'!C14</f>
        <v>0</v>
      </c>
      <c r="D26" s="8" t="s">
        <v>3</v>
      </c>
      <c r="E26" s="1"/>
    </row>
    <row r="27" spans="1:5" ht="15" customHeight="1" x14ac:dyDescent="0.25">
      <c r="A27" s="1"/>
      <c r="B27" s="64" t="s">
        <v>38</v>
      </c>
      <c r="C27" s="38">
        <f>'Fane 11.2. Engangstillæg'!E14</f>
        <v>0</v>
      </c>
      <c r="D27" s="8" t="s">
        <v>3</v>
      </c>
      <c r="E27" s="1"/>
    </row>
    <row r="28" spans="1:5" ht="15" customHeight="1" x14ac:dyDescent="0.25">
      <c r="A28" s="1"/>
      <c r="B28" s="64" t="s">
        <v>92</v>
      </c>
      <c r="C28" s="38">
        <f>-C26*('Fane 15. Nøgletal'!C21+'Fane 5. Individuelt eff. krav'!C9)</f>
        <v>0</v>
      </c>
      <c r="D28" s="8" t="s">
        <v>3</v>
      </c>
      <c r="E28" s="1"/>
    </row>
    <row r="29" spans="1:5" ht="15" customHeight="1" x14ac:dyDescent="0.25">
      <c r="A29" s="1"/>
      <c r="B29" s="64" t="s">
        <v>93</v>
      </c>
      <c r="C29" s="38">
        <f>-C27*('Fane 15. Nøgletal'!C16+'Fane 5. Individuelt eff. krav'!C9)</f>
        <v>0</v>
      </c>
      <c r="D29" s="8" t="s">
        <v>3</v>
      </c>
      <c r="E29" s="1"/>
    </row>
    <row r="30" spans="1:5" ht="15" customHeight="1" x14ac:dyDescent="0.25">
      <c r="A30" s="1"/>
      <c r="B30" s="67" t="s">
        <v>43</v>
      </c>
      <c r="C30" s="10">
        <f>SUM(C26:C29)</f>
        <v>0</v>
      </c>
      <c r="D30" s="11" t="s">
        <v>3</v>
      </c>
      <c r="E30" s="1"/>
    </row>
    <row r="31" spans="1:5" x14ac:dyDescent="0.25">
      <c r="A31" s="1"/>
      <c r="B31" s="33" t="s">
        <v>69</v>
      </c>
      <c r="C31" s="28"/>
      <c r="D31" s="19"/>
      <c r="E31" s="1"/>
    </row>
    <row r="32" spans="1:5" x14ac:dyDescent="0.25">
      <c r="A32" s="1"/>
      <c r="B32" s="31" t="s">
        <v>79</v>
      </c>
      <c r="C32" s="62">
        <f>'Fane 7. Kontrol af ØR2023'!C27</f>
        <v>0</v>
      </c>
      <c r="D32" s="11" t="s">
        <v>3</v>
      </c>
      <c r="E32" s="1"/>
    </row>
    <row r="33" spans="1:5" ht="15" customHeight="1" x14ac:dyDescent="0.25">
      <c r="A33" s="1"/>
      <c r="B33" s="33" t="s">
        <v>154</v>
      </c>
      <c r="C33" s="28"/>
      <c r="D33" s="19"/>
      <c r="E33" s="1"/>
    </row>
    <row r="34" spans="1:5" x14ac:dyDescent="0.25">
      <c r="A34" s="1"/>
      <c r="B34" s="31" t="s">
        <v>154</v>
      </c>
      <c r="C34" s="10">
        <f>'Fane 9. Korrektion af ØR2023'!C16</f>
        <v>-1527361</v>
      </c>
      <c r="D34" s="11" t="s">
        <v>3</v>
      </c>
      <c r="E34" s="1"/>
    </row>
    <row r="35" spans="1:5" x14ac:dyDescent="0.25">
      <c r="A35" s="1"/>
      <c r="B35" s="30" t="s">
        <v>75</v>
      </c>
      <c r="C35" s="28"/>
      <c r="D35" s="19"/>
      <c r="E35" s="1"/>
    </row>
    <row r="36" spans="1:5" x14ac:dyDescent="0.25">
      <c r="A36" s="1"/>
      <c r="B36" s="67" t="s">
        <v>76</v>
      </c>
      <c r="C36" s="10">
        <f>'Fane 8. Skattesagen'!C14</f>
        <v>0</v>
      </c>
      <c r="D36" s="11" t="s">
        <v>3</v>
      </c>
      <c r="E36" s="1"/>
    </row>
    <row r="37" spans="1:5" x14ac:dyDescent="0.25">
      <c r="A37" s="1"/>
      <c r="B37" s="30" t="s">
        <v>213</v>
      </c>
      <c r="C37" s="28"/>
      <c r="D37" s="19"/>
      <c r="E37" s="1"/>
    </row>
    <row r="38" spans="1:5" x14ac:dyDescent="0.25">
      <c r="A38" s="1"/>
      <c r="B38" s="67" t="s">
        <v>214</v>
      </c>
      <c r="C38" s="10">
        <v>852166.88903962495</v>
      </c>
      <c r="D38" s="11" t="s">
        <v>3</v>
      </c>
      <c r="E38" s="1"/>
    </row>
    <row r="39" spans="1:5" x14ac:dyDescent="0.25">
      <c r="A39" s="1"/>
      <c r="B39" s="33" t="s">
        <v>71</v>
      </c>
      <c r="C39" s="45">
        <f>SUM(C34,C32,C24,C30,C22,C20,C36,C38)</f>
        <v>137131148.56378287</v>
      </c>
      <c r="D39" s="30" t="s">
        <v>3</v>
      </c>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20jOY9dCS0StG4DLtl5qqUyQI21dq6pCu8qGFMRc3jPmx2GsuzHGIr393BbiY/dMavlsxN5FKArYyz/H5//pWg==" saltValue="g0ZqN8GN20y5SYV/tthNnQ==" spinCount="100000" sheet="1" objects="1" scenarios="1"/>
  <mergeCells count="1">
    <mergeCell ref="B3:D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19"/>
  <dimension ref="A1:D49"/>
  <sheetViews>
    <sheetView showGridLines="0" zoomScaleNormal="100" workbookViewId="0"/>
  </sheetViews>
  <sheetFormatPr defaultColWidth="0" defaultRowHeight="15" zeroHeight="1" x14ac:dyDescent="0.25"/>
  <cols>
    <col min="1" max="1" width="5.28515625" style="2" customWidth="1"/>
    <col min="2" max="2" width="61.7109375" style="2" customWidth="1"/>
    <col min="3" max="3" width="7.710937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107" t="s">
        <v>119</v>
      </c>
      <c r="C3" s="107"/>
      <c r="D3" s="1"/>
    </row>
    <row r="4" spans="1:4" ht="15" customHeight="1" x14ac:dyDescent="0.25">
      <c r="A4" s="1"/>
      <c r="B4" s="107"/>
      <c r="C4" s="107"/>
      <c r="D4" s="1"/>
    </row>
    <row r="5" spans="1:4" ht="15" customHeight="1" x14ac:dyDescent="0.25">
      <c r="A5" s="1"/>
      <c r="B5" s="1"/>
      <c r="C5" s="1"/>
      <c r="D5" s="1"/>
    </row>
    <row r="6" spans="1:4" x14ac:dyDescent="0.25">
      <c r="A6" s="1"/>
      <c r="B6" s="1"/>
      <c r="C6" s="1"/>
      <c r="D6" s="1"/>
    </row>
    <row r="7" spans="1:4" x14ac:dyDescent="0.25">
      <c r="A7" s="1"/>
      <c r="B7" s="1"/>
      <c r="C7" s="1"/>
      <c r="D7" s="1"/>
    </row>
    <row r="8" spans="1:4" x14ac:dyDescent="0.25">
      <c r="A8" s="1"/>
      <c r="B8" s="33" t="s">
        <v>14</v>
      </c>
      <c r="C8" s="19"/>
      <c r="D8" s="1"/>
    </row>
    <row r="9" spans="1:4" x14ac:dyDescent="0.25">
      <c r="A9" s="1"/>
      <c r="B9" s="59" t="s">
        <v>122</v>
      </c>
      <c r="C9" s="61">
        <v>8.0799999999999997E-2</v>
      </c>
      <c r="D9" s="1"/>
    </row>
    <row r="10" spans="1:4" x14ac:dyDescent="0.25">
      <c r="A10" s="1"/>
      <c r="B10" s="59" t="s">
        <v>226</v>
      </c>
      <c r="C10" s="61">
        <v>6.6299999999999998E-2</v>
      </c>
      <c r="D10" s="1"/>
    </row>
    <row r="11" spans="1:4" x14ac:dyDescent="0.25">
      <c r="A11" s="1"/>
      <c r="B11" s="33"/>
      <c r="C11" s="19"/>
      <c r="D11" s="1"/>
    </row>
    <row r="12" spans="1:4" x14ac:dyDescent="0.25">
      <c r="A12" s="1"/>
      <c r="B12" s="1"/>
      <c r="C12" s="1"/>
      <c r="D12" s="1"/>
    </row>
    <row r="13" spans="1:4" x14ac:dyDescent="0.25">
      <c r="A13" s="1"/>
      <c r="B13" s="1"/>
      <c r="C13" s="1"/>
      <c r="D13" s="1"/>
    </row>
    <row r="14" spans="1:4" x14ac:dyDescent="0.25">
      <c r="A14" s="1"/>
      <c r="B14" s="33" t="s">
        <v>50</v>
      </c>
      <c r="C14" s="19"/>
      <c r="D14" s="1"/>
    </row>
    <row r="15" spans="1:4" x14ac:dyDescent="0.25">
      <c r="A15" s="1"/>
      <c r="B15" s="59" t="s">
        <v>215</v>
      </c>
      <c r="C15" s="60">
        <v>0</v>
      </c>
      <c r="D15" s="1"/>
    </row>
    <row r="16" spans="1:4" x14ac:dyDescent="0.25">
      <c r="A16" s="1"/>
      <c r="B16" s="59" t="s">
        <v>227</v>
      </c>
      <c r="C16" s="22">
        <v>0</v>
      </c>
      <c r="D16" s="1"/>
    </row>
    <row r="17" spans="1:4" x14ac:dyDescent="0.25">
      <c r="A17" s="1"/>
      <c r="B17" s="33"/>
      <c r="C17" s="19"/>
      <c r="D17" s="1"/>
    </row>
    <row r="18" spans="1:4" x14ac:dyDescent="0.25">
      <c r="A18" s="1"/>
      <c r="B18" s="1"/>
      <c r="C18" s="1"/>
      <c r="D18" s="1"/>
    </row>
    <row r="19" spans="1:4" x14ac:dyDescent="0.25">
      <c r="A19" s="1"/>
      <c r="B19" s="1"/>
      <c r="C19" s="1"/>
      <c r="D19" s="1"/>
    </row>
    <row r="20" spans="1:4" x14ac:dyDescent="0.25">
      <c r="A20" s="1"/>
      <c r="B20" s="33" t="s">
        <v>51</v>
      </c>
      <c r="C20" s="19"/>
      <c r="D20" s="1"/>
    </row>
    <row r="21" spans="1:4" x14ac:dyDescent="0.25">
      <c r="A21" s="1"/>
      <c r="B21" s="37" t="s">
        <v>59</v>
      </c>
      <c r="C21" s="25">
        <v>0.02</v>
      </c>
      <c r="D21" s="1"/>
    </row>
    <row r="22" spans="1:4" x14ac:dyDescent="0.25">
      <c r="A22" s="1"/>
      <c r="B22" s="33"/>
      <c r="C22" s="19"/>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hidden="1" x14ac:dyDescent="0.25"/>
  </sheetData>
  <sheetProtection algorithmName="SHA-512" hashValue="bCjHfqKdnGoqKv0gMyZK3oZYhmXVizzfjl0dfHI8LjEqlzpjFAsOb7o8YJupfIRYyUU3sNaND2ZkeObySctSsA==" saltValue="9peNAYHMNyCxxK/5D9CM3A==" spinCount="100000" sheet="1" objects="1" scenarios="1"/>
  <mergeCells count="1">
    <mergeCell ref="B3:C4"/>
  </mergeCells>
  <pageMargins left="0.8125"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156</v>
      </c>
      <c r="C3" s="104"/>
      <c r="D3" s="104"/>
      <c r="E3" s="1"/>
    </row>
    <row r="4" spans="1:5" ht="15" customHeight="1" x14ac:dyDescent="0.25">
      <c r="A4" s="1"/>
      <c r="B4" s="104"/>
      <c r="C4" s="104"/>
      <c r="D4" s="104"/>
      <c r="E4" s="1"/>
    </row>
    <row r="5" spans="1:5" x14ac:dyDescent="0.25">
      <c r="A5" s="1"/>
      <c r="B5" s="105" t="s">
        <v>144</v>
      </c>
      <c r="C5" s="105"/>
      <c r="D5" s="105"/>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ht="15" customHeight="1" x14ac:dyDescent="0.25">
      <c r="A9" s="1"/>
      <c r="B9" s="29" t="s">
        <v>80</v>
      </c>
      <c r="C9" s="7">
        <f>'Fane 2.1. Økonomisk ramme 2025'!C20</f>
        <v>131540434.2460752</v>
      </c>
      <c r="D9" s="8" t="s">
        <v>3</v>
      </c>
      <c r="E9" s="1"/>
    </row>
    <row r="10" spans="1:5" ht="15" customHeight="1" x14ac:dyDescent="0.25">
      <c r="A10" s="1"/>
      <c r="B10" s="26" t="s">
        <v>19</v>
      </c>
      <c r="C10" s="7">
        <f>C9*'Fane 15. Nøgletal'!C10</f>
        <v>8721130.7905147858</v>
      </c>
      <c r="D10" s="8" t="s">
        <v>3</v>
      </c>
      <c r="E10" s="1"/>
    </row>
    <row r="11" spans="1:5" ht="15" customHeight="1" x14ac:dyDescent="0.25">
      <c r="A11" s="1"/>
      <c r="B11" s="26" t="s">
        <v>10</v>
      </c>
      <c r="C11" s="9">
        <f>-SUM(C9:C10)*'Fane 5. Individuelt eff. krav'!C9</f>
        <v>-28189.331709379334</v>
      </c>
      <c r="D11" s="8" t="s">
        <v>3</v>
      </c>
      <c r="E11" s="1"/>
    </row>
    <row r="12" spans="1:5" ht="15" customHeight="1" x14ac:dyDescent="0.25">
      <c r="A12" s="1"/>
      <c r="B12" s="26" t="s">
        <v>22</v>
      </c>
      <c r="C12" s="9">
        <f>-'Fane 4.1. Gen. krav - drift'!C22</f>
        <v>-946713.5925062598</v>
      </c>
      <c r="D12" s="8" t="s">
        <v>3</v>
      </c>
      <c r="E12" s="1"/>
    </row>
    <row r="13" spans="1:5" ht="15" customHeight="1" x14ac:dyDescent="0.25">
      <c r="A13" s="1"/>
      <c r="B13" s="26" t="s">
        <v>23</v>
      </c>
      <c r="C13" s="9">
        <f>-'Fane 4.2. Gen. krav - anlæg'!C22</f>
        <v>0</v>
      </c>
      <c r="D13" s="8" t="s">
        <v>3</v>
      </c>
      <c r="E13" s="1"/>
    </row>
    <row r="14" spans="1:5" ht="15" customHeight="1" x14ac:dyDescent="0.25">
      <c r="A14" s="1"/>
      <c r="B14" s="27" t="s">
        <v>21</v>
      </c>
      <c r="C14" s="10">
        <f>SUM(C9:C13)</f>
        <v>139286662.11237434</v>
      </c>
      <c r="D14" s="11" t="s">
        <v>3</v>
      </c>
      <c r="E14" s="1"/>
    </row>
    <row r="15" spans="1:5" x14ac:dyDescent="0.25">
      <c r="A15" s="1"/>
      <c r="B15" s="33" t="s">
        <v>12</v>
      </c>
      <c r="C15" s="28"/>
      <c r="D15" s="19"/>
      <c r="E15" s="1"/>
    </row>
    <row r="16" spans="1:5" ht="15" customHeight="1" x14ac:dyDescent="0.25">
      <c r="A16" s="1"/>
      <c r="B16" s="31" t="s">
        <v>12</v>
      </c>
      <c r="C16" s="10">
        <f>'Fane 6. Ikke-påvirkelige omk.'!C19*(1+'Fane 15. Nøgletal'!C10)+'Fane 6. Ikke-påvirkelige omk.'!C24+'Fane 6. Ikke-påvirkelige omk.'!C32</f>
        <v>6570033.518588719</v>
      </c>
      <c r="D16" s="11" t="s">
        <v>3</v>
      </c>
      <c r="E16" s="1"/>
    </row>
    <row r="17" spans="1:5" ht="15" customHeight="1" x14ac:dyDescent="0.25">
      <c r="A17" s="1"/>
      <c r="B17" s="33" t="s">
        <v>42</v>
      </c>
      <c r="C17" s="28"/>
      <c r="D17" s="19"/>
      <c r="E17" s="1"/>
    </row>
    <row r="18" spans="1:5" ht="15" customHeight="1" x14ac:dyDescent="0.25">
      <c r="A18" s="1"/>
      <c r="B18" s="82" t="s">
        <v>42</v>
      </c>
      <c r="C18" s="10">
        <f>'Fane 12. Periodevise driftsomk.'!C18</f>
        <v>0</v>
      </c>
      <c r="D18" s="11" t="s">
        <v>3</v>
      </c>
      <c r="E18" s="1"/>
    </row>
    <row r="19" spans="1:5" x14ac:dyDescent="0.25">
      <c r="A19" s="1"/>
      <c r="B19" s="33" t="s">
        <v>69</v>
      </c>
      <c r="C19" s="28"/>
      <c r="D19" s="19"/>
      <c r="E19" s="1"/>
    </row>
    <row r="20" spans="1:5" ht="15" customHeight="1" x14ac:dyDescent="0.25">
      <c r="A20" s="1"/>
      <c r="B20" s="31" t="s">
        <v>79</v>
      </c>
      <c r="C20" s="10">
        <f>'Fane 7. Kontrol af ØR2023'!C33</f>
        <v>0</v>
      </c>
      <c r="D20" s="11" t="s">
        <v>3</v>
      </c>
      <c r="E20" s="1"/>
    </row>
    <row r="21" spans="1:5" x14ac:dyDescent="0.25">
      <c r="A21" s="1"/>
      <c r="B21" s="30" t="s">
        <v>75</v>
      </c>
      <c r="C21" s="28"/>
      <c r="D21" s="19"/>
      <c r="E21" s="1"/>
    </row>
    <row r="22" spans="1:5" x14ac:dyDescent="0.25">
      <c r="A22" s="1"/>
      <c r="B22" s="67" t="s">
        <v>76</v>
      </c>
      <c r="C22" s="10">
        <f>'Fane 8. Skattesagen'!C15</f>
        <v>0</v>
      </c>
      <c r="D22" s="11" t="s">
        <v>3</v>
      </c>
      <c r="E22" s="1"/>
    </row>
    <row r="23" spans="1:5" x14ac:dyDescent="0.25">
      <c r="A23" s="1"/>
      <c r="B23" s="33" t="s">
        <v>81</v>
      </c>
      <c r="C23" s="12">
        <f>SUM(C14,C16,C18,C20,C22)</f>
        <v>145856695.63096306</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16Zqw9OT286qf4dVP30b9YcWbGGR3Gg7NCcyb6kMrI8BTQizWFEgvVR5gQvHokKgqSMgcKIiu0y1pUZAjflTw==" saltValue="m2iEj1Qjo6w/dp3fsQsKRA==" spinCount="100000" sheet="1" objects="1" scenarios="1"/>
  <mergeCells count="2">
    <mergeCell ref="B3:D4"/>
    <mergeCell ref="B5:D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157</v>
      </c>
      <c r="C3" s="104"/>
      <c r="D3" s="104"/>
      <c r="E3" s="1"/>
    </row>
    <row r="4" spans="1:5" ht="15" customHeight="1" x14ac:dyDescent="0.25">
      <c r="A4" s="1"/>
      <c r="B4" s="104"/>
      <c r="C4" s="104"/>
      <c r="D4" s="104"/>
      <c r="E4" s="1"/>
    </row>
    <row r="5" spans="1:5" x14ac:dyDescent="0.25">
      <c r="A5" s="1"/>
      <c r="B5" s="105" t="s">
        <v>144</v>
      </c>
      <c r="C5" s="105"/>
      <c r="D5" s="105"/>
      <c r="E5" s="1"/>
    </row>
    <row r="6" spans="1:5" x14ac:dyDescent="0.25">
      <c r="A6" s="1"/>
      <c r="B6" s="74"/>
      <c r="C6" s="74"/>
      <c r="D6" s="74"/>
      <c r="E6" s="1"/>
    </row>
    <row r="7" spans="1:5" x14ac:dyDescent="0.25">
      <c r="A7" s="1"/>
      <c r="B7" s="1"/>
      <c r="C7" s="1"/>
      <c r="D7" s="1"/>
      <c r="E7" s="1"/>
    </row>
    <row r="8" spans="1:5" x14ac:dyDescent="0.25">
      <c r="A8" s="1"/>
      <c r="B8" s="33" t="s">
        <v>13</v>
      </c>
      <c r="C8" s="28"/>
      <c r="D8" s="19"/>
      <c r="E8" s="1"/>
    </row>
    <row r="9" spans="1:5" ht="15" customHeight="1" x14ac:dyDescent="0.25">
      <c r="A9" s="1"/>
      <c r="B9" s="29" t="s">
        <v>129</v>
      </c>
      <c r="C9" s="7">
        <f>'Fane 2.2. Økonomisk ramme 2026'!C14</f>
        <v>139286662.11237434</v>
      </c>
      <c r="D9" s="8" t="s">
        <v>3</v>
      </c>
      <c r="E9" s="1"/>
    </row>
    <row r="10" spans="1:5" ht="15" customHeight="1" x14ac:dyDescent="0.25">
      <c r="A10" s="1"/>
      <c r="B10" s="26" t="s">
        <v>19</v>
      </c>
      <c r="C10" s="7">
        <f>SUM(C9:C9)*'Fane 15. Nøgletal'!C10</f>
        <v>9234705.6980504189</v>
      </c>
      <c r="D10" s="8" t="s">
        <v>3</v>
      </c>
      <c r="E10" s="1"/>
    </row>
    <row r="11" spans="1:5" ht="15" customHeight="1" x14ac:dyDescent="0.25">
      <c r="A11" s="1"/>
      <c r="B11" s="26" t="s">
        <v>10</v>
      </c>
      <c r="C11" s="9">
        <f>-SUM(C9:C10)*'Fane 5. Individuelt eff. krav'!C9</f>
        <v>-29849.361099361824</v>
      </c>
      <c r="D11" s="8" t="s">
        <v>3</v>
      </c>
      <c r="E11" s="1"/>
    </row>
    <row r="12" spans="1:5" ht="15" customHeight="1" x14ac:dyDescent="0.25">
      <c r="A12" s="1"/>
      <c r="B12" s="26" t="s">
        <v>22</v>
      </c>
      <c r="C12" s="9">
        <f>-'Fane 4.1. Gen. krav - drift'!C27</f>
        <v>-989291.08961563639</v>
      </c>
      <c r="D12" s="8" t="s">
        <v>3</v>
      </c>
      <c r="E12" s="1"/>
    </row>
    <row r="13" spans="1:5" ht="15" customHeight="1" x14ac:dyDescent="0.25">
      <c r="A13" s="1"/>
      <c r="B13" s="26" t="s">
        <v>23</v>
      </c>
      <c r="C13" s="9">
        <f>-'Fane 4.2. Gen. krav - anlæg'!C27</f>
        <v>0</v>
      </c>
      <c r="D13" s="8" t="s">
        <v>3</v>
      </c>
      <c r="E13" s="1"/>
    </row>
    <row r="14" spans="1:5" x14ac:dyDescent="0.25">
      <c r="A14" s="1"/>
      <c r="B14" s="27" t="s">
        <v>21</v>
      </c>
      <c r="C14" s="10">
        <f>SUM(C9:C13)</f>
        <v>147502227.35970974</v>
      </c>
      <c r="D14" s="11" t="s">
        <v>3</v>
      </c>
      <c r="E14" s="1"/>
    </row>
    <row r="15" spans="1:5" x14ac:dyDescent="0.25">
      <c r="A15" s="1"/>
      <c r="B15" s="33" t="s">
        <v>12</v>
      </c>
      <c r="C15" s="28"/>
      <c r="D15" s="19"/>
      <c r="E15" s="1"/>
    </row>
    <row r="16" spans="1:5" ht="15" customHeight="1" x14ac:dyDescent="0.25">
      <c r="A16" s="1"/>
      <c r="B16" s="31" t="s">
        <v>12</v>
      </c>
      <c r="C16" s="10">
        <f>'Fane 6. Ikke-påvirkelige omk.'!C19*(1+'Fane 15. Nøgletal'!C10)^2+'Fane 6. Ikke-påvirkelige omk.'!C25+'Fane 6. Ikke-påvirkelige omk.'!C33</f>
        <v>6894322.1019711513</v>
      </c>
      <c r="D16" s="11" t="s">
        <v>3</v>
      </c>
      <c r="E16" s="1"/>
    </row>
    <row r="17" spans="1:5" ht="15" customHeight="1" x14ac:dyDescent="0.25">
      <c r="A17" s="1"/>
      <c r="B17" s="33" t="s">
        <v>42</v>
      </c>
      <c r="C17" s="28"/>
      <c r="D17" s="19"/>
      <c r="E17" s="1"/>
    </row>
    <row r="18" spans="1:5" ht="15" customHeight="1" x14ac:dyDescent="0.25">
      <c r="A18" s="1"/>
      <c r="B18" s="82" t="s">
        <v>42</v>
      </c>
      <c r="C18" s="10">
        <f>'Fane 12. Periodevise driftsomk.'!C24</f>
        <v>0</v>
      </c>
      <c r="D18" s="11" t="s">
        <v>3</v>
      </c>
      <c r="E18" s="1"/>
    </row>
    <row r="19" spans="1:5" ht="15" customHeight="1" x14ac:dyDescent="0.25">
      <c r="A19" s="1"/>
      <c r="B19" s="33" t="s">
        <v>69</v>
      </c>
      <c r="C19" s="28"/>
      <c r="D19" s="19"/>
      <c r="E19" s="1"/>
    </row>
    <row r="20" spans="1:5" ht="15" customHeight="1" x14ac:dyDescent="0.25">
      <c r="A20" s="1"/>
      <c r="B20" s="31" t="s">
        <v>79</v>
      </c>
      <c r="C20" s="10">
        <f>'Fane 7. Kontrol af ØR2023'!C33</f>
        <v>0</v>
      </c>
      <c r="D20" s="11" t="s">
        <v>3</v>
      </c>
      <c r="E20" s="1"/>
    </row>
    <row r="21" spans="1:5" x14ac:dyDescent="0.25">
      <c r="A21" s="1"/>
      <c r="B21" s="30" t="s">
        <v>75</v>
      </c>
      <c r="C21" s="28"/>
      <c r="D21" s="19"/>
      <c r="E21" s="1"/>
    </row>
    <row r="22" spans="1:5" x14ac:dyDescent="0.25">
      <c r="A22" s="1"/>
      <c r="B22" s="67" t="s">
        <v>76</v>
      </c>
      <c r="C22" s="10">
        <f>'Fane 8. Skattesagen'!C16</f>
        <v>0</v>
      </c>
      <c r="D22" s="11" t="s">
        <v>3</v>
      </c>
      <c r="E22" s="1"/>
    </row>
    <row r="23" spans="1:5" x14ac:dyDescent="0.25">
      <c r="A23" s="1"/>
      <c r="B23" s="33" t="s">
        <v>130</v>
      </c>
      <c r="C23" s="12">
        <f>SUM(C14,C16,C18,C20,C22)</f>
        <v>154396549.46168089</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vc0SK9IoGvYjEqw1JLA+6MkA10RpAsbdDBmzsYsMhlNIWTwEppSZ9DvRt6lozFBH3bbaVNLadItS6n1Via/i/Q==" saltValue="mWqDE2ZaNCUIHYQATHMLng==" spinCount="100000" sheet="1" objects="1" scenarios="1"/>
  <mergeCells count="2">
    <mergeCell ref="B3:D4"/>
    <mergeCell ref="B5: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158</v>
      </c>
      <c r="C3" s="104"/>
      <c r="D3" s="104"/>
      <c r="E3" s="1"/>
    </row>
    <row r="4" spans="1:5" ht="15" customHeight="1" x14ac:dyDescent="0.25">
      <c r="A4" s="1"/>
      <c r="B4" s="104"/>
      <c r="C4" s="104"/>
      <c r="D4" s="104"/>
      <c r="E4" s="1"/>
    </row>
    <row r="5" spans="1:5" x14ac:dyDescent="0.25">
      <c r="A5" s="1"/>
      <c r="B5" s="105" t="s">
        <v>144</v>
      </c>
      <c r="C5" s="105"/>
      <c r="D5" s="105"/>
      <c r="E5" s="1"/>
    </row>
    <row r="6" spans="1:5" x14ac:dyDescent="0.25">
      <c r="A6" s="1"/>
      <c r="B6" s="74"/>
      <c r="C6" s="74"/>
      <c r="D6" s="74"/>
      <c r="E6" s="1"/>
    </row>
    <row r="7" spans="1:5" x14ac:dyDescent="0.25">
      <c r="A7" s="1"/>
      <c r="B7" s="1"/>
      <c r="C7" s="1"/>
      <c r="D7" s="1"/>
      <c r="E7" s="1"/>
    </row>
    <row r="8" spans="1:5" x14ac:dyDescent="0.25">
      <c r="A8" s="1"/>
      <c r="B8" s="33" t="s">
        <v>13</v>
      </c>
      <c r="C8" s="28"/>
      <c r="D8" s="19"/>
      <c r="E8" s="1"/>
    </row>
    <row r="9" spans="1:5" ht="15" customHeight="1" x14ac:dyDescent="0.25">
      <c r="A9" s="1"/>
      <c r="B9" s="29" t="s">
        <v>159</v>
      </c>
      <c r="C9" s="7">
        <f>'Fane 2.3. Økonomisk ramme 2027'!C14</f>
        <v>147502227.35970974</v>
      </c>
      <c r="D9" s="8" t="s">
        <v>3</v>
      </c>
      <c r="E9" s="1"/>
    </row>
    <row r="10" spans="1:5" ht="15" customHeight="1" x14ac:dyDescent="0.25">
      <c r="A10" s="1"/>
      <c r="B10" s="26" t="s">
        <v>19</v>
      </c>
      <c r="C10" s="7">
        <f>SUM(C9:C9)*'Fane 15. Nøgletal'!C10</f>
        <v>9779397.6739487555</v>
      </c>
      <c r="D10" s="8" t="s">
        <v>3</v>
      </c>
      <c r="E10" s="1"/>
    </row>
    <row r="11" spans="1:5" ht="15" customHeight="1" x14ac:dyDescent="0.25">
      <c r="A11" s="1"/>
      <c r="B11" s="26" t="s">
        <v>10</v>
      </c>
      <c r="C11" s="9">
        <f>-SUM(C9:C10)*'Fane 5. Individuelt eff. krav'!C9</f>
        <v>-31609.970263111009</v>
      </c>
      <c r="D11" s="8" t="s">
        <v>3</v>
      </c>
      <c r="E11" s="1"/>
    </row>
    <row r="12" spans="1:5" ht="15" customHeight="1" x14ac:dyDescent="0.25">
      <c r="A12" s="1"/>
      <c r="B12" s="26" t="s">
        <v>22</v>
      </c>
      <c r="C12" s="9">
        <f>-'Fane 4.1. Gen. krav - drift'!C32</f>
        <v>-1033783.4670800101</v>
      </c>
      <c r="D12" s="8" t="s">
        <v>3</v>
      </c>
      <c r="E12" s="1"/>
    </row>
    <row r="13" spans="1:5" ht="15" customHeight="1" x14ac:dyDescent="0.25">
      <c r="A13" s="1"/>
      <c r="B13" s="26" t="s">
        <v>23</v>
      </c>
      <c r="C13" s="9">
        <f>-'Fane 4.2. Gen. krav - anlæg'!C32</f>
        <v>0</v>
      </c>
      <c r="D13" s="8" t="s">
        <v>3</v>
      </c>
      <c r="E13" s="1"/>
    </row>
    <row r="14" spans="1:5" ht="14.25" customHeight="1" x14ac:dyDescent="0.25">
      <c r="A14" s="1"/>
      <c r="B14" s="27" t="s">
        <v>21</v>
      </c>
      <c r="C14" s="10">
        <f>SUM(C9:C13)</f>
        <v>156216231.59631538</v>
      </c>
      <c r="D14" s="11" t="s">
        <v>3</v>
      </c>
      <c r="E14" s="1"/>
    </row>
    <row r="15" spans="1:5" x14ac:dyDescent="0.25">
      <c r="A15" s="1"/>
      <c r="B15" s="33" t="s">
        <v>12</v>
      </c>
      <c r="C15" s="28"/>
      <c r="D15" s="19"/>
      <c r="E15" s="1"/>
    </row>
    <row r="16" spans="1:5" ht="15" customHeight="1" x14ac:dyDescent="0.25">
      <c r="A16" s="1"/>
      <c r="B16" s="31" t="s">
        <v>12</v>
      </c>
      <c r="C16" s="10">
        <f>'Fane 6. Ikke-påvirkelige omk.'!C19*(1+'Fane 15. Nøgletal'!C10)^3+'Fane 6. Ikke-påvirkelige omk.'!C26+'Fane 6. Ikke-påvirkelige omk.'!C34</f>
        <v>7240111.0184318386</v>
      </c>
      <c r="D16" s="11" t="s">
        <v>3</v>
      </c>
      <c r="E16" s="1"/>
    </row>
    <row r="17" spans="1:5" ht="15" customHeight="1" x14ac:dyDescent="0.25">
      <c r="A17" s="1"/>
      <c r="B17" s="33" t="s">
        <v>42</v>
      </c>
      <c r="C17" s="28"/>
      <c r="D17" s="19"/>
      <c r="E17" s="1"/>
    </row>
    <row r="18" spans="1:5" ht="15" customHeight="1" x14ac:dyDescent="0.25">
      <c r="A18" s="1"/>
      <c r="B18" s="82" t="s">
        <v>42</v>
      </c>
      <c r="C18" s="10">
        <f>'Fane 12. Periodevise driftsomk.'!C30</f>
        <v>0</v>
      </c>
      <c r="D18" s="11" t="s">
        <v>3</v>
      </c>
      <c r="E18" s="1"/>
    </row>
    <row r="19" spans="1:5" x14ac:dyDescent="0.25">
      <c r="A19" s="1"/>
      <c r="B19" s="30" t="s">
        <v>75</v>
      </c>
      <c r="C19" s="28"/>
      <c r="D19" s="19"/>
      <c r="E19" s="1"/>
    </row>
    <row r="20" spans="1:5" x14ac:dyDescent="0.25">
      <c r="A20" s="1"/>
      <c r="B20" s="67" t="s">
        <v>76</v>
      </c>
      <c r="C20" s="10">
        <f>'Fane 8. Skattesagen'!C17</f>
        <v>0</v>
      </c>
      <c r="D20" s="11" t="s">
        <v>3</v>
      </c>
      <c r="E20" s="1"/>
    </row>
    <row r="21" spans="1:5" x14ac:dyDescent="0.25">
      <c r="A21" s="1"/>
      <c r="B21" s="33" t="s">
        <v>160</v>
      </c>
      <c r="C21" s="12">
        <f>SUM(C14,C16,C18,C20)</f>
        <v>163456342.61474723</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4qyQZFsYCt6JM05hLFXX347uV+VP2X8Jjf0M8JFrmsvh4qJu0vCUiMS6PUnor9G+RufOw+2Dt+7uqlP3lzfEPQ==" saltValue="6hTJk/R4ItuirYjI6sYeUA==" spinCount="100000" sheet="1" objects="1" scenarios="1"/>
  <mergeCells count="2">
    <mergeCell ref="B3:D4"/>
    <mergeCell ref="B5:D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55"/>
  <sheetViews>
    <sheetView showGridLines="0" zoomScaleNormal="100" workbookViewId="0"/>
  </sheetViews>
  <sheetFormatPr defaultColWidth="0" defaultRowHeight="15" zeroHeight="1" x14ac:dyDescent="0.25"/>
  <cols>
    <col min="1" max="1" width="6.5703125" style="2" customWidth="1"/>
    <col min="2" max="2" width="52.28515625" style="2" customWidth="1"/>
    <col min="3" max="3" width="15.140625" style="2" customWidth="1"/>
    <col min="4" max="4" width="4.140625" style="2" customWidth="1"/>
    <col min="5" max="5" width="8.42578125" style="2" bestFit="1" customWidth="1"/>
    <col min="6" max="16384" width="9.140625" style="2" hidden="1"/>
  </cols>
  <sheetData>
    <row r="1" spans="1:5" x14ac:dyDescent="0.25">
      <c r="A1" s="1"/>
      <c r="B1" s="1"/>
      <c r="C1" s="1"/>
      <c r="D1" s="1"/>
      <c r="E1" s="1"/>
    </row>
    <row r="2" spans="1:5" x14ac:dyDescent="0.25">
      <c r="A2" s="1"/>
      <c r="B2" s="1"/>
      <c r="C2" s="1"/>
      <c r="D2" s="1"/>
      <c r="E2" s="1"/>
    </row>
    <row r="3" spans="1:5" ht="24.95" customHeight="1" x14ac:dyDescent="0.25">
      <c r="A3" s="1"/>
      <c r="B3" s="107" t="s">
        <v>161</v>
      </c>
      <c r="C3" s="107"/>
      <c r="D3" s="107"/>
      <c r="E3" s="1"/>
    </row>
    <row r="4" spans="1:5" ht="15" customHeight="1" x14ac:dyDescent="0.25">
      <c r="A4" s="1"/>
      <c r="B4" s="107"/>
      <c r="C4" s="107"/>
      <c r="D4" s="107"/>
      <c r="E4" s="1"/>
    </row>
    <row r="5" spans="1:5" ht="15" customHeight="1"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162</v>
      </c>
      <c r="C8" s="28"/>
      <c r="D8" s="19"/>
      <c r="E8" s="1"/>
    </row>
    <row r="9" spans="1:5" ht="15" customHeight="1" x14ac:dyDescent="0.25">
      <c r="A9" s="1"/>
      <c r="B9" s="29" t="s">
        <v>64</v>
      </c>
      <c r="C9" s="7">
        <v>108598720.70027392</v>
      </c>
      <c r="D9" s="8" t="s">
        <v>3</v>
      </c>
      <c r="E9" s="1"/>
    </row>
    <row r="10" spans="1:5" ht="15" customHeight="1" x14ac:dyDescent="0.25">
      <c r="A10" s="1"/>
      <c r="B10" s="64" t="s">
        <v>35</v>
      </c>
      <c r="C10" s="7">
        <v>703097.72002400004</v>
      </c>
      <c r="D10" s="8" t="s">
        <v>3</v>
      </c>
      <c r="E10" s="1"/>
    </row>
    <row r="11" spans="1:5" ht="15" customHeight="1" x14ac:dyDescent="0.25">
      <c r="A11" s="1"/>
      <c r="B11" s="64" t="s">
        <v>36</v>
      </c>
      <c r="C11" s="9">
        <v>2051059.3642559997</v>
      </c>
      <c r="D11" s="8" t="s">
        <v>3</v>
      </c>
      <c r="E11" s="1"/>
    </row>
    <row r="12" spans="1:5" ht="15" customHeight="1" x14ac:dyDescent="0.25">
      <c r="A12" s="1"/>
      <c r="B12" s="64" t="s">
        <v>25</v>
      </c>
      <c r="C12" s="9">
        <v>0</v>
      </c>
      <c r="D12" s="8" t="s">
        <v>3</v>
      </c>
      <c r="E12" s="1"/>
    </row>
    <row r="13" spans="1:5" ht="15" customHeight="1" x14ac:dyDescent="0.25">
      <c r="A13" s="1"/>
      <c r="B13" s="64" t="s">
        <v>24</v>
      </c>
      <c r="C13" s="9">
        <v>0</v>
      </c>
      <c r="D13" s="8" t="s">
        <v>3</v>
      </c>
      <c r="E13" s="1"/>
    </row>
    <row r="14" spans="1:5" ht="15" customHeight="1" x14ac:dyDescent="0.25">
      <c r="A14" s="1"/>
      <c r="B14" s="64" t="s">
        <v>62</v>
      </c>
      <c r="C14" s="9">
        <v>0</v>
      </c>
      <c r="D14" s="8" t="s">
        <v>3</v>
      </c>
      <c r="E14" s="1"/>
    </row>
    <row r="15" spans="1:5" ht="15" customHeight="1" x14ac:dyDescent="0.25">
      <c r="A15" s="1"/>
      <c r="B15" s="64" t="s">
        <v>63</v>
      </c>
      <c r="C15" s="9">
        <v>0</v>
      </c>
      <c r="D15" s="8" t="s">
        <v>3</v>
      </c>
      <c r="E15" s="1"/>
    </row>
    <row r="16" spans="1:5" ht="15" customHeight="1" x14ac:dyDescent="0.25">
      <c r="A16" s="1"/>
      <c r="B16" s="64" t="s">
        <v>19</v>
      </c>
      <c r="C16" s="38">
        <v>8997312.5249919556</v>
      </c>
      <c r="D16" s="8" t="s">
        <v>3</v>
      </c>
      <c r="E16" s="1"/>
    </row>
    <row r="17" spans="1:5" ht="15" customHeight="1" x14ac:dyDescent="0.25">
      <c r="A17" s="1"/>
      <c r="B17" s="64" t="s">
        <v>10</v>
      </c>
      <c r="C17" s="38">
        <v>-24187.605742440526</v>
      </c>
      <c r="D17" s="8" t="s">
        <v>3</v>
      </c>
      <c r="E17" s="1"/>
    </row>
    <row r="18" spans="1:5" ht="15" customHeight="1" x14ac:dyDescent="0.25">
      <c r="A18" s="1"/>
      <c r="B18" s="64" t="s">
        <v>22</v>
      </c>
      <c r="C18" s="38">
        <v>-849082.43042577582</v>
      </c>
      <c r="D18" s="8" t="s">
        <v>3</v>
      </c>
      <c r="E18" s="1"/>
    </row>
    <row r="19" spans="1:5" ht="15" customHeight="1" x14ac:dyDescent="0.25">
      <c r="A19" s="1"/>
      <c r="B19" s="64" t="s">
        <v>23</v>
      </c>
      <c r="C19" s="38">
        <v>0</v>
      </c>
      <c r="D19" s="8" t="s">
        <v>3</v>
      </c>
      <c r="E19" s="43"/>
    </row>
    <row r="20" spans="1:5" ht="15" customHeight="1" x14ac:dyDescent="0.25">
      <c r="A20" s="1"/>
      <c r="B20" s="82" t="s">
        <v>21</v>
      </c>
      <c r="C20" s="10">
        <v>119476920.27337766</v>
      </c>
      <c r="D20" s="11" t="s">
        <v>3</v>
      </c>
      <c r="E20" s="1"/>
    </row>
    <row r="21" spans="1:5" ht="15" customHeight="1" x14ac:dyDescent="0.25">
      <c r="A21" s="1"/>
      <c r="B21" s="33" t="s">
        <v>12</v>
      </c>
      <c r="C21" s="28"/>
      <c r="D21" s="19"/>
      <c r="E21" s="1"/>
    </row>
    <row r="22" spans="1:5" ht="15" customHeight="1" x14ac:dyDescent="0.25">
      <c r="A22" s="1"/>
      <c r="B22" s="31" t="s">
        <v>12</v>
      </c>
      <c r="C22" s="10">
        <v>5335371.5080812797</v>
      </c>
      <c r="D22" s="11" t="s">
        <v>3</v>
      </c>
      <c r="E22" s="1"/>
    </row>
    <row r="23" spans="1:5" ht="15" customHeight="1" x14ac:dyDescent="0.25">
      <c r="A23" s="1"/>
      <c r="B23" s="33" t="s">
        <v>42</v>
      </c>
      <c r="C23" s="28"/>
      <c r="D23" s="19"/>
      <c r="E23" s="1"/>
    </row>
    <row r="24" spans="1:5" ht="15" customHeight="1" x14ac:dyDescent="0.25">
      <c r="A24" s="1"/>
      <c r="B24" s="82" t="s">
        <v>42</v>
      </c>
      <c r="C24" s="10">
        <v>0</v>
      </c>
      <c r="D24" s="11" t="s">
        <v>3</v>
      </c>
      <c r="E24" s="1"/>
    </row>
    <row r="25" spans="1:5" x14ac:dyDescent="0.25">
      <c r="A25" s="1"/>
      <c r="B25" s="41" t="s">
        <v>41</v>
      </c>
      <c r="C25" s="39"/>
      <c r="D25" s="40"/>
      <c r="E25" s="1"/>
    </row>
    <row r="26" spans="1:5" ht="15" customHeight="1" x14ac:dyDescent="0.25">
      <c r="A26" s="1"/>
      <c r="B26" s="64" t="s">
        <v>89</v>
      </c>
      <c r="C26" s="71">
        <v>0</v>
      </c>
      <c r="D26" s="8" t="s">
        <v>3</v>
      </c>
      <c r="E26" s="1"/>
    </row>
    <row r="27" spans="1:5" ht="15" customHeight="1" x14ac:dyDescent="0.25">
      <c r="A27" s="1"/>
      <c r="B27" s="64" t="s">
        <v>38</v>
      </c>
      <c r="C27" s="71">
        <v>0</v>
      </c>
      <c r="D27" s="8" t="s">
        <v>3</v>
      </c>
      <c r="E27" s="1"/>
    </row>
    <row r="28" spans="1:5" ht="15" customHeight="1" x14ac:dyDescent="0.25">
      <c r="A28" s="1"/>
      <c r="B28" s="64" t="s">
        <v>92</v>
      </c>
      <c r="C28" s="71">
        <v>0</v>
      </c>
      <c r="D28" s="8" t="s">
        <v>3</v>
      </c>
      <c r="E28" s="1"/>
    </row>
    <row r="29" spans="1:5" ht="15" customHeight="1" x14ac:dyDescent="0.25">
      <c r="A29" s="1"/>
      <c r="B29" s="64" t="s">
        <v>93</v>
      </c>
      <c r="C29" s="71">
        <v>0</v>
      </c>
      <c r="D29" s="8" t="s">
        <v>3</v>
      </c>
      <c r="E29" s="1"/>
    </row>
    <row r="30" spans="1:5" ht="15" customHeight="1" x14ac:dyDescent="0.25">
      <c r="A30" s="1"/>
      <c r="B30" s="67" t="s">
        <v>43</v>
      </c>
      <c r="C30" s="10">
        <v>0</v>
      </c>
      <c r="D30" s="11" t="s">
        <v>3</v>
      </c>
      <c r="E30" s="1"/>
    </row>
    <row r="31" spans="1:5" ht="15" customHeight="1" x14ac:dyDescent="0.25">
      <c r="A31" s="1"/>
      <c r="B31" s="33" t="s">
        <v>69</v>
      </c>
      <c r="C31" s="28"/>
      <c r="D31" s="19"/>
      <c r="E31" s="1"/>
    </row>
    <row r="32" spans="1:5" ht="15" customHeight="1" x14ac:dyDescent="0.25">
      <c r="A32" s="1"/>
      <c r="B32" s="31" t="s">
        <v>79</v>
      </c>
      <c r="C32" s="10">
        <v>0</v>
      </c>
      <c r="D32" s="11" t="s">
        <v>3</v>
      </c>
      <c r="E32" s="1"/>
    </row>
    <row r="33" spans="1:5" x14ac:dyDescent="0.25">
      <c r="A33" s="1"/>
      <c r="B33" s="33" t="s">
        <v>128</v>
      </c>
      <c r="C33" s="28"/>
      <c r="D33" s="19"/>
      <c r="E33" s="1"/>
    </row>
    <row r="34" spans="1:5" ht="15.4" customHeight="1" x14ac:dyDescent="0.25">
      <c r="A34" s="1"/>
      <c r="B34" s="31" t="s">
        <v>128</v>
      </c>
      <c r="C34" s="10">
        <v>-1527361</v>
      </c>
      <c r="D34" s="11" t="s">
        <v>3</v>
      </c>
      <c r="E34" s="1"/>
    </row>
    <row r="35" spans="1:5" ht="15.4" customHeight="1" x14ac:dyDescent="0.25">
      <c r="A35" s="1"/>
      <c r="B35" s="30" t="s">
        <v>75</v>
      </c>
      <c r="C35" s="28"/>
      <c r="D35" s="19"/>
      <c r="E35" s="1"/>
    </row>
    <row r="36" spans="1:5" x14ac:dyDescent="0.25">
      <c r="A36" s="1"/>
      <c r="B36" s="67" t="s">
        <v>76</v>
      </c>
      <c r="C36" s="10">
        <v>0</v>
      </c>
      <c r="D36" s="11" t="s">
        <v>3</v>
      </c>
      <c r="E36" s="1"/>
    </row>
    <row r="37" spans="1:5" x14ac:dyDescent="0.25">
      <c r="A37" s="1"/>
      <c r="B37" s="30" t="s">
        <v>213</v>
      </c>
      <c r="C37" s="28"/>
      <c r="D37" s="19"/>
      <c r="E37" s="1"/>
    </row>
    <row r="38" spans="1:5" x14ac:dyDescent="0.25">
      <c r="A38" s="1"/>
      <c r="B38" s="67" t="s">
        <v>214</v>
      </c>
      <c r="C38" s="10">
        <v>3770685.7033142736</v>
      </c>
      <c r="D38" s="11" t="s">
        <v>3</v>
      </c>
      <c r="E38" s="1"/>
    </row>
    <row r="39" spans="1:5" x14ac:dyDescent="0.25">
      <c r="A39" s="1"/>
      <c r="B39" s="33" t="s">
        <v>65</v>
      </c>
      <c r="C39" s="45">
        <v>127055616.48477322</v>
      </c>
      <c r="D39" s="30" t="s">
        <v>3</v>
      </c>
      <c r="E39" s="1"/>
    </row>
    <row r="40" spans="1:5" ht="30" customHeight="1" x14ac:dyDescent="0.25">
      <c r="A40" s="1"/>
      <c r="B40" s="106" t="s">
        <v>225</v>
      </c>
      <c r="C40" s="106"/>
      <c r="D40" s="106"/>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ht="14.25" customHeight="1"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s="56" customFormat="1" hidden="1" x14ac:dyDescent="0.25"/>
    <row r="50" spans="1:5" s="56" customFormat="1" hidden="1" x14ac:dyDescent="0.25"/>
    <row r="51" spans="1:5" s="56" customFormat="1" hidden="1" x14ac:dyDescent="0.25"/>
    <row r="52" spans="1:5" hidden="1" x14ac:dyDescent="0.25">
      <c r="A52" s="44"/>
      <c r="B52" s="44"/>
      <c r="C52" s="44"/>
      <c r="D52" s="44"/>
      <c r="E52" s="44"/>
    </row>
    <row r="53" spans="1:5" hidden="1" x14ac:dyDescent="0.25">
      <c r="A53" s="44"/>
      <c r="B53" s="44"/>
      <c r="C53" s="44"/>
      <c r="D53" s="44"/>
      <c r="E53" s="44"/>
    </row>
    <row r="54" spans="1:5" hidden="1" x14ac:dyDescent="0.25">
      <c r="A54" s="44"/>
      <c r="B54" s="44"/>
      <c r="C54" s="44"/>
      <c r="D54" s="44"/>
      <c r="E54" s="44"/>
    </row>
    <row r="55" spans="1:5" hidden="1" x14ac:dyDescent="0.25">
      <c r="A55" s="44"/>
      <c r="B55" s="44"/>
      <c r="C55" s="44"/>
      <c r="D55" s="44"/>
      <c r="E55" s="44"/>
    </row>
  </sheetData>
  <sheetProtection algorithmName="SHA-512" hashValue="dC/a3MoWhVxaYn41M0OG7ThC4fVndREbDQHMujQ5cs1JZzZq+rElW8s4vvf2gHdwGBT190NhMmgkOEl+jbsp8Q==" saltValue="A4F4UJeRv6GVpHlCCwjwPA==" spinCount="100000" sheet="1" objects="1" scenarios="1"/>
  <mergeCells count="2">
    <mergeCell ref="B40:D40"/>
    <mergeCell ref="B3:D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42578125" style="2" customWidth="1"/>
    <col min="5" max="5" width="5.28515625" style="2" customWidth="1"/>
    <col min="6" max="16384" width="9.140625" style="2" hidden="1"/>
  </cols>
  <sheetData>
    <row r="1" spans="1:5" ht="15" customHeight="1" x14ac:dyDescent="0.25">
      <c r="A1" s="1"/>
      <c r="B1" s="35"/>
      <c r="C1" s="35"/>
      <c r="D1" s="35"/>
      <c r="E1" s="1"/>
    </row>
    <row r="2" spans="1:5" ht="15" customHeight="1" x14ac:dyDescent="0.25">
      <c r="A2" s="1"/>
      <c r="B2" s="35"/>
      <c r="C2" s="35"/>
      <c r="D2" s="35"/>
      <c r="E2" s="1"/>
    </row>
    <row r="3" spans="1:5" ht="15" customHeight="1" x14ac:dyDescent="0.25">
      <c r="A3" s="1"/>
      <c r="B3" s="107" t="s">
        <v>56</v>
      </c>
      <c r="C3" s="107"/>
      <c r="D3" s="107"/>
      <c r="E3" s="1"/>
    </row>
    <row r="4" spans="1:5" ht="15" customHeight="1" x14ac:dyDescent="0.25">
      <c r="A4" s="1"/>
      <c r="B4" s="107"/>
      <c r="C4" s="107"/>
      <c r="D4" s="107"/>
      <c r="E4" s="1"/>
    </row>
    <row r="5" spans="1:5" ht="15" customHeight="1" x14ac:dyDescent="0.25">
      <c r="A5" s="1"/>
      <c r="B5" s="107"/>
      <c r="C5" s="107"/>
      <c r="D5" s="107"/>
      <c r="E5" s="1"/>
    </row>
    <row r="6" spans="1:5" ht="15" customHeight="1" x14ac:dyDescent="0.25">
      <c r="A6" s="1"/>
      <c r="B6" s="75"/>
      <c r="C6" s="75"/>
      <c r="D6" s="75"/>
      <c r="E6" s="1"/>
    </row>
    <row r="7" spans="1:5" x14ac:dyDescent="0.25">
      <c r="A7" s="1"/>
      <c r="B7" s="1"/>
      <c r="C7" s="1"/>
      <c r="D7" s="1"/>
      <c r="E7" s="1"/>
    </row>
    <row r="8" spans="1:5" x14ac:dyDescent="0.25">
      <c r="A8" s="1"/>
      <c r="B8" s="108" t="s">
        <v>123</v>
      </c>
      <c r="C8" s="109"/>
      <c r="D8" s="110"/>
      <c r="E8" s="1"/>
    </row>
    <row r="9" spans="1:5" x14ac:dyDescent="0.25">
      <c r="A9" s="1"/>
      <c r="B9" s="65" t="s">
        <v>88</v>
      </c>
      <c r="C9" s="23">
        <v>41694213.505486853</v>
      </c>
      <c r="D9" s="14" t="s">
        <v>3</v>
      </c>
      <c r="E9" s="1"/>
    </row>
    <row r="10" spans="1:5" x14ac:dyDescent="0.25">
      <c r="A10" s="1"/>
      <c r="B10" s="65" t="s">
        <v>125</v>
      </c>
      <c r="C10" s="23">
        <f>('Fane 3. Omkostninger i ØR2024'!C10+'Fane 3. Omkostninger i ØR2024'!C12+'Fane 3. Omkostninger i ØR2024'!C14)*(1+'Fane 15. Nøgletal'!C9)</f>
        <v>759908.01580193918</v>
      </c>
      <c r="D10" s="14" t="s">
        <v>3</v>
      </c>
      <c r="E10" s="1"/>
    </row>
    <row r="11" spans="1:5" x14ac:dyDescent="0.25">
      <c r="A11" s="1"/>
      <c r="B11" s="65" t="s">
        <v>131</v>
      </c>
      <c r="C11" s="23">
        <f>C9*'Fane 15. Nøgletal'!C21+C10*'Fane 15. Nøgletal'!C21</f>
        <v>849082.43042577582</v>
      </c>
      <c r="D11" s="14" t="s">
        <v>3</v>
      </c>
      <c r="E11" s="1"/>
    </row>
    <row r="12" spans="1:5" x14ac:dyDescent="0.25">
      <c r="A12" s="1"/>
      <c r="B12" s="33"/>
      <c r="C12" s="28"/>
      <c r="D12" s="19"/>
      <c r="E12" s="1"/>
    </row>
    <row r="13" spans="1:5" x14ac:dyDescent="0.25">
      <c r="A13" s="1"/>
      <c r="B13" s="1"/>
      <c r="C13" s="1"/>
      <c r="D13" s="1"/>
      <c r="E13" s="1"/>
    </row>
    <row r="14" spans="1:5" x14ac:dyDescent="0.25">
      <c r="A14" s="1"/>
      <c r="B14" s="108" t="s">
        <v>124</v>
      </c>
      <c r="C14" s="109"/>
      <c r="D14" s="110"/>
      <c r="E14" s="1"/>
    </row>
    <row r="15" spans="1:5" x14ac:dyDescent="0.25">
      <c r="A15" s="1"/>
      <c r="B15" s="65" t="s">
        <v>133</v>
      </c>
      <c r="C15" s="23">
        <f>(C9+C10-C11)*(1+'Fane 15. Nøgletal'!C9)</f>
        <v>44966726.249404743</v>
      </c>
      <c r="D15" s="14" t="s">
        <v>3</v>
      </c>
      <c r="E15" s="1"/>
    </row>
    <row r="16" spans="1:5" x14ac:dyDescent="0.25">
      <c r="A16" s="1"/>
      <c r="B16" s="65" t="s">
        <v>184</v>
      </c>
      <c r="C16" s="23">
        <f>('Fane 2.1. Økonomisk ramme 2025'!C10+'Fane 2.1. Økonomisk ramme 2025'!C12+'Fane 2.1. Økonomisk ramme 2025'!C14)*(1+'Fane 15. Nøgletal'!C10)</f>
        <v>331701.86968051217</v>
      </c>
      <c r="D16" s="14" t="s">
        <v>3</v>
      </c>
      <c r="E16" s="1"/>
    </row>
    <row r="17" spans="1:5" x14ac:dyDescent="0.25">
      <c r="A17" s="1"/>
      <c r="B17" s="65" t="s">
        <v>132</v>
      </c>
      <c r="C17" s="23">
        <f>C15*'Fane 15. Nøgletal'!C21+C16*'Fane 15. Nøgletal'!C21</f>
        <v>905968.56238170515</v>
      </c>
      <c r="D17" s="14" t="s">
        <v>3</v>
      </c>
      <c r="E17" s="1"/>
    </row>
    <row r="18" spans="1:5" x14ac:dyDescent="0.25">
      <c r="A18" s="1"/>
      <c r="B18" s="33"/>
      <c r="C18" s="28"/>
      <c r="D18" s="19"/>
      <c r="E18" s="1"/>
    </row>
    <row r="19" spans="1:5" x14ac:dyDescent="0.25">
      <c r="A19" s="1"/>
      <c r="B19" s="1"/>
      <c r="C19" s="63"/>
      <c r="D19" s="1"/>
      <c r="E19" s="1"/>
    </row>
    <row r="20" spans="1:5" x14ac:dyDescent="0.25">
      <c r="A20" s="1"/>
      <c r="B20" s="108" t="s">
        <v>145</v>
      </c>
      <c r="C20" s="109"/>
      <c r="D20" s="110"/>
      <c r="E20" s="1"/>
    </row>
    <row r="21" spans="1:5" x14ac:dyDescent="0.25">
      <c r="A21" s="1"/>
      <c r="B21" s="65" t="s">
        <v>189</v>
      </c>
      <c r="C21" s="23">
        <f>(C15+C16-C17)*(1+'Fane 15. Nøgletal'!C10)</f>
        <v>47335679.625312991</v>
      </c>
      <c r="D21" s="14" t="s">
        <v>3</v>
      </c>
      <c r="E21" s="1"/>
    </row>
    <row r="22" spans="1:5" x14ac:dyDescent="0.25">
      <c r="A22" s="1"/>
      <c r="B22" s="65" t="s">
        <v>196</v>
      </c>
      <c r="C22" s="23">
        <f>C21*'Fane 15. Nøgletal'!C21</f>
        <v>946713.5925062598</v>
      </c>
      <c r="D22" s="14" t="s">
        <v>3</v>
      </c>
      <c r="E22" s="1"/>
    </row>
    <row r="23" spans="1:5" x14ac:dyDescent="0.25">
      <c r="A23" s="1"/>
      <c r="B23" s="33"/>
      <c r="C23" s="28"/>
      <c r="D23" s="19"/>
      <c r="E23" s="1"/>
    </row>
    <row r="24" spans="1:5" x14ac:dyDescent="0.25">
      <c r="A24" s="1"/>
      <c r="B24" s="1"/>
      <c r="C24" s="1"/>
      <c r="D24" s="1"/>
      <c r="E24" s="1"/>
    </row>
    <row r="25" spans="1:5" x14ac:dyDescent="0.25">
      <c r="A25" s="1"/>
      <c r="B25" s="108" t="s">
        <v>187</v>
      </c>
      <c r="C25" s="109"/>
      <c r="D25" s="110"/>
      <c r="E25" s="1"/>
    </row>
    <row r="26" spans="1:5" x14ac:dyDescent="0.25">
      <c r="A26" s="1"/>
      <c r="B26" s="65" t="s">
        <v>190</v>
      </c>
      <c r="C26" s="23">
        <f>(C21-C22)*(1+'Fane 15. Nøgletal'!C10)</f>
        <v>49464554.480781816</v>
      </c>
      <c r="D26" s="14" t="s">
        <v>3</v>
      </c>
      <c r="E26" s="1"/>
    </row>
    <row r="27" spans="1:5" x14ac:dyDescent="0.25">
      <c r="A27" s="1"/>
      <c r="B27" s="65" t="s">
        <v>194</v>
      </c>
      <c r="C27" s="23">
        <f>C26*'Fane 15. Nøgletal'!C21</f>
        <v>989291.08961563639</v>
      </c>
      <c r="D27" s="14" t="s">
        <v>3</v>
      </c>
      <c r="E27" s="1"/>
    </row>
    <row r="28" spans="1:5" x14ac:dyDescent="0.25">
      <c r="A28" s="1"/>
      <c r="B28" s="33"/>
      <c r="C28" s="28"/>
      <c r="D28" s="19"/>
      <c r="E28" s="1"/>
    </row>
    <row r="29" spans="1:5" x14ac:dyDescent="0.25">
      <c r="A29" s="1"/>
      <c r="B29" s="1"/>
      <c r="C29" s="1"/>
      <c r="D29" s="1"/>
      <c r="E29" s="1"/>
    </row>
    <row r="30" spans="1:5" x14ac:dyDescent="0.25">
      <c r="A30" s="1"/>
      <c r="B30" s="108" t="s">
        <v>188</v>
      </c>
      <c r="C30" s="109"/>
      <c r="D30" s="110"/>
      <c r="E30" s="1"/>
    </row>
    <row r="31" spans="1:5" x14ac:dyDescent="0.25">
      <c r="A31" s="1"/>
      <c r="B31" s="65" t="s">
        <v>191</v>
      </c>
      <c r="C31" s="23">
        <f>(C26-C27)*(1+'Fane 15. Nøgletal'!C10)</f>
        <v>51689173.354000501</v>
      </c>
      <c r="D31" s="14" t="s">
        <v>3</v>
      </c>
      <c r="E31" s="1"/>
    </row>
    <row r="32" spans="1:5" x14ac:dyDescent="0.25">
      <c r="A32" s="1"/>
      <c r="B32" s="65" t="s">
        <v>195</v>
      </c>
      <c r="C32" s="23">
        <f>C31*'Fane 15. Nøgletal'!C21</f>
        <v>1033783.4670800101</v>
      </c>
      <c r="D32" s="14" t="s">
        <v>3</v>
      </c>
      <c r="E32" s="1"/>
    </row>
    <row r="33" spans="1:5" x14ac:dyDescent="0.25">
      <c r="A33" s="1"/>
      <c r="B33" s="33"/>
      <c r="C33" s="28"/>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6NKJbgWvzjkMnxnyqtKPEha9MvaBYx6FkCJ+PmOOjSyFIVa0KtkF+Ps21ecG4K7aY+PTGNlpJR/75SRN/lfszw==" saltValue="eba8XnopRfiV1dIH3/S+NQ==" spinCount="100000" sheet="1" objects="1" scenarios="1"/>
  <mergeCells count="6">
    <mergeCell ref="B3:D5"/>
    <mergeCell ref="B30:D30"/>
    <mergeCell ref="B20:D20"/>
    <mergeCell ref="B14:D14"/>
    <mergeCell ref="B8:D8"/>
    <mergeCell ref="B25:D25"/>
  </mergeCells>
  <pageMargins left="0.7" right="0.7" top="0.75" bottom="0.75" header="0.3" footer="0.3"/>
  <pageSetup paperSize="9" orientation="portrait" r:id="rId1"/>
  <headerFooter>
    <oddFooter xml:space="preserve">&amp;R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9"/>
  <dimension ref="A1:E49"/>
  <sheetViews>
    <sheetView showGridLines="0" zoomScaleNormal="100" workbookViewId="0"/>
  </sheetViews>
  <sheetFormatPr defaultColWidth="0" defaultRowHeight="15" zeroHeight="1" x14ac:dyDescent="0.25"/>
  <cols>
    <col min="1" max="1" width="5.28515625" style="2" customWidth="1"/>
    <col min="2" max="2" width="58.140625" style="2" customWidth="1"/>
    <col min="3" max="3" width="11.7109375" style="2" customWidth="1"/>
    <col min="4" max="4" width="3.140625" style="2" customWidth="1"/>
    <col min="5" max="5" width="5.28515625" style="2" customWidth="1"/>
    <col min="6" max="16384" width="9.140625" style="2" hidden="1"/>
  </cols>
  <sheetData>
    <row r="1" spans="1:5" ht="14.25" customHeight="1" x14ac:dyDescent="0.35">
      <c r="A1" s="1"/>
      <c r="B1" s="69"/>
      <c r="C1" s="69"/>
      <c r="D1" s="69"/>
      <c r="E1" s="1"/>
    </row>
    <row r="2" spans="1:5" ht="15" customHeight="1" x14ac:dyDescent="0.35">
      <c r="A2" s="1"/>
      <c r="B2" s="69"/>
      <c r="C2" s="69"/>
      <c r="D2" s="69"/>
      <c r="E2" s="1"/>
    </row>
    <row r="3" spans="1:5" ht="15" customHeight="1" x14ac:dyDescent="0.25">
      <c r="A3" s="1"/>
      <c r="B3" s="111" t="s">
        <v>57</v>
      </c>
      <c r="C3" s="111"/>
      <c r="D3" s="111"/>
      <c r="E3" s="1"/>
    </row>
    <row r="4" spans="1:5" ht="15" customHeight="1" x14ac:dyDescent="0.25">
      <c r="A4" s="1"/>
      <c r="B4" s="111"/>
      <c r="C4" s="111"/>
      <c r="D4" s="111"/>
      <c r="E4" s="1"/>
    </row>
    <row r="5" spans="1:5" ht="15" customHeight="1" x14ac:dyDescent="0.25">
      <c r="A5" s="1"/>
      <c r="B5" s="111"/>
      <c r="C5" s="111"/>
      <c r="D5" s="111"/>
      <c r="E5" s="1"/>
    </row>
    <row r="6" spans="1:5" ht="15" customHeight="1" x14ac:dyDescent="0.35">
      <c r="A6" s="1"/>
      <c r="B6" s="69"/>
      <c r="C6" s="69"/>
      <c r="D6" s="69"/>
      <c r="E6" s="1"/>
    </row>
    <row r="7" spans="1:5" x14ac:dyDescent="0.25">
      <c r="A7" s="1"/>
      <c r="B7" s="1"/>
      <c r="C7" s="1"/>
      <c r="D7" s="1"/>
      <c r="E7" s="1"/>
    </row>
    <row r="8" spans="1:5" x14ac:dyDescent="0.25">
      <c r="A8" s="1"/>
      <c r="B8" s="108" t="s">
        <v>147</v>
      </c>
      <c r="C8" s="109"/>
      <c r="D8" s="110"/>
      <c r="E8" s="1"/>
    </row>
    <row r="9" spans="1:5" x14ac:dyDescent="0.25">
      <c r="A9" s="1"/>
      <c r="B9" s="65" t="s">
        <v>134</v>
      </c>
      <c r="C9" s="23">
        <v>84264327.568329483</v>
      </c>
      <c r="D9" s="14" t="s">
        <v>3</v>
      </c>
      <c r="E9" s="1"/>
    </row>
    <row r="10" spans="1:5" x14ac:dyDescent="0.25">
      <c r="A10" s="1"/>
      <c r="B10" s="65" t="s">
        <v>126</v>
      </c>
      <c r="C10" s="23">
        <f>('Fane 3. Omkostninger i ØR2024'!C11+'Fane 3. Omkostninger i ØR2024'!C13+'Fane 3. Omkostninger i ØR2024'!C15)*(1+'Fane 15. Nøgletal'!C9)</f>
        <v>2216784.9608878843</v>
      </c>
      <c r="D10" s="14" t="s">
        <v>3</v>
      </c>
      <c r="E10" s="1"/>
    </row>
    <row r="11" spans="1:5" x14ac:dyDescent="0.25">
      <c r="A11" s="1"/>
      <c r="B11" s="65" t="s">
        <v>135</v>
      </c>
      <c r="C11" s="23">
        <f>SUM(C9:C10)*'Fane 15. Nøgletal'!C15</f>
        <v>0</v>
      </c>
      <c r="D11" s="14" t="s">
        <v>3</v>
      </c>
      <c r="E11" s="1"/>
    </row>
    <row r="12" spans="1:5" x14ac:dyDescent="0.25">
      <c r="A12" s="1"/>
      <c r="B12" s="33"/>
      <c r="C12" s="28"/>
      <c r="D12" s="19"/>
      <c r="E12" s="1"/>
    </row>
    <row r="13" spans="1:5" x14ac:dyDescent="0.25">
      <c r="A13" s="1"/>
      <c r="B13" s="1"/>
      <c r="C13" s="1"/>
      <c r="D13" s="1"/>
      <c r="E13" s="1"/>
    </row>
    <row r="14" spans="1:5" x14ac:dyDescent="0.25">
      <c r="A14" s="1"/>
      <c r="B14" s="108" t="s">
        <v>146</v>
      </c>
      <c r="C14" s="109"/>
      <c r="D14" s="110"/>
      <c r="E14" s="1"/>
    </row>
    <row r="15" spans="1:5" x14ac:dyDescent="0.25">
      <c r="A15" s="1"/>
      <c r="B15" s="65" t="s">
        <v>136</v>
      </c>
      <c r="C15" s="23">
        <f>(C9+C10-C11)*(1+'Fane 15. Nøgletal'!C9)</f>
        <v>93468786.421578124</v>
      </c>
      <c r="D15" s="14" t="s">
        <v>3</v>
      </c>
      <c r="E15" s="1"/>
    </row>
    <row r="16" spans="1:5" x14ac:dyDescent="0.25">
      <c r="A16" s="1"/>
      <c r="B16" s="65" t="s">
        <v>185</v>
      </c>
      <c r="C16" s="23">
        <f>('Fane 2.1. Økonomisk ramme 2025'!C11+'Fane 2.1. Økonomisk ramme 2025'!C13+'Fane 2.1. Økonomisk ramme 2025'!C15)*(1+'Fane 15. Nøgletal'!C10)</f>
        <v>3010669.5229103593</v>
      </c>
      <c r="D16" s="14" t="s">
        <v>3</v>
      </c>
      <c r="E16" s="1"/>
    </row>
    <row r="17" spans="1:5" x14ac:dyDescent="0.25">
      <c r="A17" s="1"/>
      <c r="B17" s="65" t="s">
        <v>137</v>
      </c>
      <c r="C17" s="23">
        <f>(C15)*'Fane 15. Nøgletal'!C15+C16*'Fane 15. Nøgletal'!C16</f>
        <v>0</v>
      </c>
      <c r="D17" s="14" t="s">
        <v>3</v>
      </c>
      <c r="E17" s="1"/>
    </row>
    <row r="18" spans="1:5" x14ac:dyDescent="0.25">
      <c r="A18" s="1"/>
      <c r="B18" s="33"/>
      <c r="C18" s="28"/>
      <c r="D18" s="19"/>
      <c r="E18" s="1"/>
    </row>
    <row r="19" spans="1:5" x14ac:dyDescent="0.25">
      <c r="A19" s="1"/>
      <c r="B19" s="1"/>
      <c r="C19" s="1"/>
      <c r="D19" s="1"/>
      <c r="E19" s="1"/>
    </row>
    <row r="20" spans="1:5" x14ac:dyDescent="0.25">
      <c r="A20" s="1"/>
      <c r="B20" s="108" t="s">
        <v>82</v>
      </c>
      <c r="C20" s="109"/>
      <c r="D20" s="110"/>
      <c r="E20" s="1"/>
    </row>
    <row r="21" spans="1:5" x14ac:dyDescent="0.25">
      <c r="A21" s="1"/>
      <c r="B21" s="65" t="s">
        <v>192</v>
      </c>
      <c r="C21" s="23">
        <f>(C15+C16-C17)*(1+'Fane 15. Nøgletal'!C10)</f>
        <v>102876043.87360807</v>
      </c>
      <c r="D21" s="14" t="s">
        <v>3</v>
      </c>
      <c r="E21" s="1"/>
    </row>
    <row r="22" spans="1:5" x14ac:dyDescent="0.25">
      <c r="A22" s="1"/>
      <c r="B22" s="65" t="s">
        <v>197</v>
      </c>
      <c r="C22" s="23">
        <f>C21*'Fane 15. Nøgletal'!C16</f>
        <v>0</v>
      </c>
      <c r="D22" s="14" t="s">
        <v>3</v>
      </c>
      <c r="E22" s="1"/>
    </row>
    <row r="23" spans="1:5" x14ac:dyDescent="0.25">
      <c r="A23" s="1"/>
      <c r="B23" s="33"/>
      <c r="C23" s="28"/>
      <c r="D23" s="19"/>
      <c r="E23" s="1"/>
    </row>
    <row r="24" spans="1:5" x14ac:dyDescent="0.25">
      <c r="A24" s="1"/>
      <c r="B24" s="1"/>
      <c r="C24" s="1"/>
      <c r="D24" s="1"/>
      <c r="E24" s="1"/>
    </row>
    <row r="25" spans="1:5" x14ac:dyDescent="0.25">
      <c r="A25" s="1"/>
      <c r="B25" s="108" t="s">
        <v>138</v>
      </c>
      <c r="C25" s="109"/>
      <c r="D25" s="110"/>
      <c r="E25" s="1"/>
    </row>
    <row r="26" spans="1:5" x14ac:dyDescent="0.25">
      <c r="A26" s="1"/>
      <c r="B26" s="65" t="s">
        <v>193</v>
      </c>
      <c r="C26" s="23">
        <f>(C21-C22)*(1+'Fane 15. Nøgletal'!C10)</f>
        <v>109696725.58242829</v>
      </c>
      <c r="D26" s="14" t="s">
        <v>3</v>
      </c>
      <c r="E26" s="1"/>
    </row>
    <row r="27" spans="1:5" x14ac:dyDescent="0.25">
      <c r="A27" s="1"/>
      <c r="B27" s="65" t="s">
        <v>198</v>
      </c>
      <c r="C27" s="23">
        <f>C26*'Fane 15. Nøgletal'!C16</f>
        <v>0</v>
      </c>
      <c r="D27" s="14" t="s">
        <v>3</v>
      </c>
      <c r="E27" s="1"/>
    </row>
    <row r="28" spans="1:5" x14ac:dyDescent="0.25">
      <c r="A28" s="1"/>
      <c r="B28" s="33"/>
      <c r="C28" s="28"/>
      <c r="D28" s="19"/>
      <c r="E28" s="1"/>
    </row>
    <row r="29" spans="1:5" x14ac:dyDescent="0.25">
      <c r="A29" s="1"/>
      <c r="B29" s="1"/>
      <c r="C29" s="1"/>
      <c r="D29" s="1"/>
      <c r="E29" s="1"/>
    </row>
    <row r="30" spans="1:5" x14ac:dyDescent="0.25">
      <c r="A30" s="1"/>
      <c r="B30" s="108" t="s">
        <v>163</v>
      </c>
      <c r="C30" s="109"/>
      <c r="D30" s="110"/>
      <c r="E30" s="1"/>
    </row>
    <row r="31" spans="1:5" x14ac:dyDescent="0.25">
      <c r="A31" s="1"/>
      <c r="B31" s="65" t="s">
        <v>200</v>
      </c>
      <c r="C31" s="23">
        <f>(C26-C27)*(1+'Fane 15. Nøgletal'!C10)</f>
        <v>116969618.48854329</v>
      </c>
      <c r="D31" s="14" t="s">
        <v>3</v>
      </c>
      <c r="E31" s="1"/>
    </row>
    <row r="32" spans="1:5" x14ac:dyDescent="0.25">
      <c r="A32" s="1"/>
      <c r="B32" s="65" t="s">
        <v>199</v>
      </c>
      <c r="C32" s="23">
        <f>C31*'Fane 15. Nøgletal'!C16</f>
        <v>0</v>
      </c>
      <c r="D32" s="14" t="s">
        <v>3</v>
      </c>
      <c r="E32" s="1"/>
    </row>
    <row r="33" spans="1:5" x14ac:dyDescent="0.25">
      <c r="A33" s="1"/>
      <c r="B33" s="33"/>
      <c r="C33" s="28"/>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t6nowllnABNkkFyPJRLAPiMw/9fhR7NgQgZR9EpEw/EQAJ4qwJT1qIt2xXvuLhFUO/vM4xINmkXZskG1b6+QzQ==" saltValue="NoBDjJJSY3qdHsHP1duw6w==" spinCount="100000" sheet="1" objects="1" scenarios="1"/>
  <mergeCells count="6">
    <mergeCell ref="B3:D5"/>
    <mergeCell ref="B30:D30"/>
    <mergeCell ref="B25:D25"/>
    <mergeCell ref="B8:D8"/>
    <mergeCell ref="B14:D14"/>
    <mergeCell ref="B20:D2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1"/>
  <dimension ref="A1:D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104" t="s">
        <v>44</v>
      </c>
      <c r="C3" s="104"/>
      <c r="D3" s="1"/>
    </row>
    <row r="4" spans="1:4" ht="15" customHeight="1" x14ac:dyDescent="0.25">
      <c r="A4" s="1"/>
      <c r="B4" s="104"/>
      <c r="C4" s="104"/>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108" t="s">
        <v>10</v>
      </c>
      <c r="C8" s="110"/>
      <c r="D8" s="1"/>
    </row>
    <row r="9" spans="1:4" x14ac:dyDescent="0.25">
      <c r="A9" s="1"/>
      <c r="B9" s="65" t="s">
        <v>164</v>
      </c>
      <c r="C9" s="22">
        <v>2.0097687988883907E-4</v>
      </c>
      <c r="D9" s="1"/>
    </row>
    <row r="10" spans="1:4" x14ac:dyDescent="0.25">
      <c r="A10" s="1"/>
      <c r="B10" s="33"/>
      <c r="C10" s="19"/>
      <c r="D10" s="1"/>
    </row>
    <row r="11" spans="1:4" x14ac:dyDescent="0.25">
      <c r="A11" s="1"/>
      <c r="B11" s="112" t="s">
        <v>220</v>
      </c>
      <c r="C11" s="113"/>
      <c r="D11" s="1"/>
    </row>
    <row r="12" spans="1:4" x14ac:dyDescent="0.25">
      <c r="A12" s="1"/>
      <c r="B12" s="114"/>
      <c r="C12" s="115"/>
      <c r="D12" s="1"/>
    </row>
    <row r="13" spans="1:4" x14ac:dyDescent="0.25">
      <c r="A13" s="1"/>
      <c r="B13" s="1"/>
      <c r="C13" s="1"/>
      <c r="D13" s="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sheetData>
  <sheetProtection algorithmName="SHA-512" hashValue="MwxSBdDL0CAmpoiugZuV7/Xvm/2MAWWrfxE2vGr/xEm/316+8or6z88JhDEgLiQ/qSj8vO+y6EGdzJc0I7dFOw==" saltValue="zqCexP2CGCruBSeUkBHT7g==" spinCount="100000" sheet="1" objects="1" scenarios="1"/>
  <mergeCells count="3">
    <mergeCell ref="B3:C4"/>
    <mergeCell ref="B8:C8"/>
    <mergeCell ref="B11:C1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20</vt:i4>
      </vt:variant>
      <vt:variant>
        <vt:lpstr>Navngivne områder</vt:lpstr>
      </vt:variant>
      <vt:variant>
        <vt:i4>19</vt:i4>
      </vt:variant>
    </vt:vector>
  </HeadingPairs>
  <TitlesOfParts>
    <vt:vector size="39" baseType="lpstr">
      <vt:lpstr>1. Forside</vt:lpstr>
      <vt:lpstr>Fane 2.1. Økonomisk ramme 2025</vt:lpstr>
      <vt:lpstr>Fane 2.2. Økonomisk ramme 2026</vt:lpstr>
      <vt:lpstr>Fane 2.3. Økonomisk ramme 2027</vt:lpstr>
      <vt:lpstr>Fane 2.4. Økonomisk ramme 2028</vt:lpstr>
      <vt:lpstr>Fane 3. Omkostninger i ØR2024</vt:lpstr>
      <vt:lpstr>Fane 4.1. Gen. krav - drift</vt:lpstr>
      <vt:lpstr>Fane 4.2. Gen. krav - anlæg</vt:lpstr>
      <vt:lpstr>Fane 5. Individuelt eff. krav</vt:lpstr>
      <vt:lpstr>Fane 6. Ikke-påvirkelige omk.</vt:lpstr>
      <vt:lpstr>Fane 7. Kontrol af ØR2023</vt:lpstr>
      <vt:lpstr>Fane 8. Skattesagen</vt:lpstr>
      <vt:lpstr>Fane 9. Korrektion af ØR2023</vt:lpstr>
      <vt:lpstr>Fane 10. Anlægsprojekter (§ 19)</vt:lpstr>
      <vt:lpstr>Fane 11.1. Varige tillæg</vt:lpstr>
      <vt:lpstr>Fane 11.2. Engangstillæg</vt:lpstr>
      <vt:lpstr>Fane 12. Periodevise driftsomk.</vt:lpstr>
      <vt:lpstr>Fane 13. Tilknyttet virksomhed</vt:lpstr>
      <vt:lpstr>Fane 14. Bortfald</vt:lpstr>
      <vt:lpstr>Fane 15. Nøgletal</vt:lpstr>
      <vt:lpstr>Fane21</vt:lpstr>
      <vt:lpstr>Fane21total</vt:lpstr>
      <vt:lpstr>Fane22</vt:lpstr>
      <vt:lpstr>Fane22total</vt:lpstr>
      <vt:lpstr>Fane23</vt:lpstr>
      <vt:lpstr>Fane23total</vt:lpstr>
      <vt:lpstr>Fane24</vt:lpstr>
      <vt:lpstr>Fane24total</vt:lpstr>
      <vt:lpstr>Fane3total</vt:lpstr>
      <vt:lpstr>Tabel_Fane_13</vt:lpstr>
      <vt:lpstr>Tabel_Fane_14</vt:lpstr>
      <vt:lpstr>Tabel_Fane_2_1</vt:lpstr>
      <vt:lpstr>Tabel_Fane_2_2</vt:lpstr>
      <vt:lpstr>Tabel_Fane_2_3</vt:lpstr>
      <vt:lpstr>Tabel_Fane_2_4</vt:lpstr>
      <vt:lpstr>Tabel_Fane_3</vt:lpstr>
      <vt:lpstr>ØR25total</vt:lpstr>
      <vt:lpstr>ØR26total</vt:lpstr>
      <vt:lpstr>ØR27total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Rikke Bachmann Jørgensen</cp:lastModifiedBy>
  <cp:lastPrinted>2024-05-06T07:45:39Z</cp:lastPrinted>
  <dcterms:created xsi:type="dcterms:W3CDTF">2016-06-02T08:51:18Z</dcterms:created>
  <dcterms:modified xsi:type="dcterms:W3CDTF">2024-10-03T09:26:55Z</dcterms:modified>
</cp:coreProperties>
</file>