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Middelfart Spildevand AS (S06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<sst xmlns="http://schemas.openxmlformats.org/spreadsheetml/2006/main" count="608" uniqueCount="290">
  <si>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</si>
  <si>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</si>
  <si>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</si>
  <si>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</si>
  <si>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</si>
  <si>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</si>
  <si>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</si>
  <si>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</si>
  <si>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</si>
  <si>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</si>
  <si>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</si>
  <si>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</si>
  <si>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</si>
  <si>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</si>
  <si>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</si>
  <si>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</si>
  <si>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</si>
  <si>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</si>
  <si>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</si>
  <si>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</si>
  <si>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</si>
  <si>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</si>
  <si>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</si>
  <si>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</si>
  <si>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</si>
  <si>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</si>
  <si>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</si>
  <si>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</si>
  <si>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</si>
  <si>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</si>
  <si>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</si>
  <si>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</si>
  <si>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</si>
  <si>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</si>
  <si>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</si>
  <si>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</si>
  <si>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</si>
  <si>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</si>
  <si>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</si>
  <si>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</si>
  <si>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</si>
  <si>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</si>
  <si>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</si>
  <si>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</si>
  <si>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</si>
  <si>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</si>
  <si>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</si>
  <si>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</si>
  <si>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</si>
  <si>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</si>
  <si>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</si>
  <si>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</si>
  <si>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</si>
  <si>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</si>
  <si>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</si>
  <si>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</si>
  <si>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</si>
  <si>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</si>
  <si>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</si>
  <si>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</si>
  <si>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</si>
  <si>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</si>
  <si>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</si>
  <si>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</si>
  <si>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</si>
  <si>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</si>
  <si>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</si>
  <si>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</si>
  <si>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</si>
  <si>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</si>
  <si>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</si>
  <si>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</si>
  <si>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</si>
  <si>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</si>
  <si>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</si>
  <si>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</si>
  <si>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</si>
  <si>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</si>
  <si>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</si>
  <si>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</si>
  <si>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</si>
  <si>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</si>
  <si>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</si>
  <si>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</si>
  <si>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</si>
  <si>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</si>
  <si>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</si>
  <si>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</si>
  <si>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</si>
  <si>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</si>
  <si>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</si>
  <si>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</si>
  <si>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</si>
  <si>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</si>
  <si>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</si>
  <si>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</si>
  <si>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</si>
  <si>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</si>
  <si>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</si>
  <si>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</si>
  <si>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</si>
  <si>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</si>
  <si>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</si>
  <si>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</si>
  <si>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</si>
  <si>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</si>
  <si>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</si>
  <si>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</si>
  <si>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</si>
  <si>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</si>
  <si>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</si>
  <si>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</si>
  <si>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</si>
  <si>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</si>
  <si>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</si>
  <si>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</si>
  <si>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</si>
  <si>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</si>
  <si>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</si>
  <si>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</si>
  <si>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</si>
  <si>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</si>
  <si>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</si>
  <si>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</si>
  <si>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</si>
  <si>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</si>
  <si>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</si>
  <si>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</si>
  <si>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</si>
  <si>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</si>
  <si>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</si>
  <si>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</si>
  <si>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</si>
  <si>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</si>
  <si>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</si>
  <si>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</si>
  <si>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</si>
  <si>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</si>
  <si>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</si>
  <si>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</si>
  <si>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</si>
  <si>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</si>
  <si>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</si>
  <si>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</si>
  <si>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</si>
  <si>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</si>
  <si>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</si>
  <si>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</si>
  <si>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</si>
  <si>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</si>
  <si>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</si>
  <si>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</si>
  <si>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</si>
  <si>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</si>
  <si>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</si>
  <si>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</si>
  <si>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</si>
  <si>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</si>
  <si>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</si>
  <si>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</si>
  <si>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</si>
  <si>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</si>
  <si>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</si>
  <si>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</si>
  <si>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</si>
  <si>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</si>
  <si>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</si>
  <si>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</si>
  <si>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</si>
  <si>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</si>
  <si>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</si>
  <si>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</si>
  <si>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</si>
  <si>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</si>
  <si>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</si>
  <si>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</si>
  <si>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</si>
  <si>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</si>
  <si>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</si>
  <si>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</si>
  <si>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</si>
  <si>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</si>
  <si>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</si>
  <si>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</si>
  <si>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</si>
  <si>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</si>
  <si>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</si>
  <si>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</si>
  <si>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</si>
  <si>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</si>
  <si>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</si>
  <si>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</si>
  <si>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</si>
  <si>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</si>
  <si>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</si>
  <si>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</si>
  <si>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</si>
  <si>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</si>
  <si>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</si>
  <si>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</si>
  <si>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</si>
  <si>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</si>
  <si>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</si>
  <si>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</si>
  <si>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</si>
  <si>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</si>
  <si>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</si>
  <si>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</si>
  <si>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</si>
  <si>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</si>
  <si>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</si>
  <si>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</si>
  <si>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</si>
  <si>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</si>
  <si>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</si>
  <si>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</si>
  <si>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</si>
  <si>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</si>
  <si>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</si>
  <si>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</si>
  <si>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</si>
  <si>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</si>
  <si>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</si>
  <si>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</si>
  <si>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</si>
  <si>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</si>
  <si>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</si>
  <si>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</si>
  <si>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</si>
  <si>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</si>
  <si>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</si>
  <si>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</si>
  <si>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</si>
  <si>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</si>
  <si>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</si>
  <si>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</si>
  <si>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</si>
  <si>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</si>
  <si>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</si>
  <si>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</si>
  <si>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</si>
  <si>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</si>
  <si>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</si>
  <si>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</si>
  <si>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</si>
  <si>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</si>
  <si>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</si>
  <si>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</si>
  <si>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</si>
  <si>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</si>
  <si>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</si>
  <si>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</si>
  <si>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</si>
  <si>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</si>
  <si>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</si>
  <si>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</si>
  <si>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</si>
  <si>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</si>
  <si>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</si>
  <si>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</si>
  <si>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</si>
  <si>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</si>
  <si>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</si>
  <si>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</si>
  <si>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</si>
  <si>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</si>
  <si>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</si>
  <si>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</si>
  <si>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</si>
  <si>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</si>
  <si>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Ingen anlægsprojekter</t>
  </si>
  <si>
    <t>Resultat af kontrol med overholdelse af den økonomiske ramme for 2021</t>
  </si>
  <si>
    <t>Ingen tilknyttet virksomhed under hovedvirksomheden</t>
  </si>
  <si>
    <t>Byggemodninger og nye enkelttilslutninger</t>
  </si>
  <si>
    <t>Ingen engangstillæg</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</si>
  <si>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</si>
  <si>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</si>
  <si>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</si>
  <si>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</si>
  <si>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</si>
  <si>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</si>
  <si>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</si>
  <si>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</si>
  <si>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</si>
  <si>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</si>
  <si>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</si>
  <si>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</si>
  <si>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 xml:space="preserve"> </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</si>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</sst>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5" fontId="8" fillId="0" borderId="1" xfId="1" applyNumberFormat="1" applyFont="1" applyFill="1" applyBorder="1" applyProtection="1"/>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3" t="s">
        <v>4</v>
      </c>
      <c r="E6" s="103"/>
      <c r="F6" s="103"/>
      <c r="G6" s="103"/>
      <c r="H6" s="3"/>
      <c r="I6" s="1"/>
    </row>
    <row r="7" spans="1:9" ht="15" customHeight="1" x14ac:dyDescent="0.25">
      <c r="A7" s="1"/>
      <c r="B7" s="1"/>
      <c r="C7" s="3"/>
      <c r="D7" s="103"/>
      <c r="E7" s="103"/>
      <c r="F7" s="103"/>
      <c r="G7" s="103"/>
      <c r="H7" s="3"/>
      <c r="I7" s="1"/>
    </row>
    <row r="8" spans="1:9" ht="15.75" x14ac:dyDescent="0.25">
      <c r="A8" s="1"/>
      <c r="B8" s="1"/>
      <c r="C8" s="4"/>
      <c r="D8" s="111" t="s">
        <v>226</v>
      </c>
      <c r="E8" s="111"/>
      <c r="F8" s="111"/>
      <c r="G8" s="11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0" t="s">
        <v>5</v>
      </c>
      <c r="E11" s="110"/>
      <c r="F11" s="110"/>
      <c r="G11" s="110"/>
      <c r="H11" s="5"/>
      <c r="I11" s="1"/>
    </row>
    <row r="12" spans="1:9" x14ac:dyDescent="0.25">
      <c r="A12" s="1"/>
      <c r="B12" s="1"/>
      <c r="C12" s="1"/>
      <c r="D12" s="1"/>
      <c r="E12" s="1"/>
      <c r="F12" s="1"/>
      <c r="G12" s="1"/>
      <c r="H12" s="5"/>
      <c r="I12" s="1"/>
    </row>
    <row r="13" spans="1:9" x14ac:dyDescent="0.25">
      <c r="A13" s="1"/>
      <c r="B13" s="1"/>
      <c r="C13" s="6" t="s">
        <v>6</v>
      </c>
      <c r="D13" s="115" t="s">
        <v>169</v>
      </c>
      <c r="E13" s="116"/>
      <c r="F13" s="116"/>
      <c r="G13" s="117"/>
      <c r="H13" s="5"/>
      <c r="I13" s="1"/>
    </row>
    <row r="14" spans="1:9" x14ac:dyDescent="0.25">
      <c r="A14" s="1"/>
      <c r="B14" s="1"/>
      <c r="C14" s="6" t="s">
        <v>16</v>
      </c>
      <c r="D14" s="100" t="s">
        <v>236</v>
      </c>
      <c r="E14" s="101"/>
      <c r="F14" s="101"/>
      <c r="G14" s="102"/>
      <c r="H14" s="5"/>
      <c r="I14" s="1"/>
    </row>
    <row r="15" spans="1:9" x14ac:dyDescent="0.25">
      <c r="A15" s="1"/>
      <c r="B15" s="1"/>
      <c r="C15" s="6" t="s">
        <v>34</v>
      </c>
      <c r="D15" s="100" t="s">
        <v>170</v>
      </c>
      <c r="E15" s="101"/>
      <c r="F15" s="101"/>
      <c r="G15" s="102"/>
      <c r="H15" s="5"/>
      <c r="I15" s="1"/>
    </row>
    <row r="16" spans="1:9" x14ac:dyDescent="0.25">
      <c r="A16" s="1"/>
      <c r="B16" s="1"/>
      <c r="C16" s="6" t="s">
        <v>35</v>
      </c>
      <c r="D16" s="100" t="s">
        <v>182</v>
      </c>
      <c r="E16" s="101"/>
      <c r="F16" s="101"/>
      <c r="G16" s="102"/>
      <c r="H16" s="5"/>
      <c r="I16" s="1"/>
    </row>
    <row r="17" spans="1:9" x14ac:dyDescent="0.25">
      <c r="A17" s="1"/>
      <c r="B17" s="1"/>
      <c r="C17" s="6" t="s">
        <v>119</v>
      </c>
      <c r="D17" s="100" t="s">
        <v>183</v>
      </c>
      <c r="E17" s="101"/>
      <c r="F17" s="101"/>
      <c r="G17" s="102"/>
      <c r="H17" s="5"/>
      <c r="I17" s="1"/>
    </row>
    <row r="18" spans="1:9" x14ac:dyDescent="0.25">
      <c r="A18" s="1"/>
      <c r="B18" s="1"/>
      <c r="C18" s="6" t="s">
        <v>106</v>
      </c>
      <c r="D18" s="112" t="s">
        <v>95</v>
      </c>
      <c r="E18" s="113"/>
      <c r="F18" s="113"/>
      <c r="G18" s="114"/>
      <c r="H18" s="5"/>
      <c r="I18" s="1"/>
    </row>
    <row r="19" spans="1:9" x14ac:dyDescent="0.25">
      <c r="A19" s="1"/>
      <c r="B19" s="1"/>
      <c r="C19" s="6" t="s">
        <v>107</v>
      </c>
      <c r="D19" s="112" t="s">
        <v>96</v>
      </c>
      <c r="E19" s="113"/>
      <c r="F19" s="113"/>
      <c r="G19" s="114"/>
      <c r="H19" s="5"/>
      <c r="I19" s="1"/>
    </row>
    <row r="20" spans="1:9" x14ac:dyDescent="0.25">
      <c r="A20" s="1"/>
      <c r="B20" s="1"/>
      <c r="C20" s="6" t="s">
        <v>7</v>
      </c>
      <c r="D20" s="112" t="s">
        <v>10</v>
      </c>
      <c r="E20" s="113"/>
      <c r="F20" s="113"/>
      <c r="G20" s="114"/>
      <c r="H20" s="5"/>
      <c r="I20" s="1"/>
    </row>
    <row r="21" spans="1:9" x14ac:dyDescent="0.25">
      <c r="A21" s="1"/>
      <c r="B21" s="1"/>
      <c r="C21" s="6" t="s">
        <v>108</v>
      </c>
      <c r="D21" s="104" t="s">
        <v>12</v>
      </c>
      <c r="E21" s="105"/>
      <c r="F21" s="105"/>
      <c r="G21" s="106"/>
      <c r="H21" s="5"/>
      <c r="I21" s="1"/>
    </row>
    <row r="22" spans="1:9" x14ac:dyDescent="0.25">
      <c r="A22" s="1"/>
      <c r="B22" s="1"/>
      <c r="C22" s="6" t="s">
        <v>83</v>
      </c>
      <c r="D22" s="107" t="s">
        <v>184</v>
      </c>
      <c r="E22" s="108"/>
      <c r="F22" s="108"/>
      <c r="G22" s="109"/>
      <c r="H22" s="5"/>
      <c r="I22" s="1"/>
    </row>
    <row r="23" spans="1:9" x14ac:dyDescent="0.25">
      <c r="A23" s="1"/>
      <c r="B23" s="1"/>
      <c r="C23" s="6" t="s">
        <v>8</v>
      </c>
      <c r="D23" s="107" t="s">
        <v>254</v>
      </c>
      <c r="E23" s="108"/>
      <c r="F23" s="108"/>
      <c r="G23" s="109"/>
      <c r="H23" s="5"/>
      <c r="I23" s="1"/>
    </row>
    <row r="24" spans="1:9" x14ac:dyDescent="0.25">
      <c r="A24" s="1"/>
      <c r="B24" s="1"/>
      <c r="C24" s="6" t="s">
        <v>9</v>
      </c>
      <c r="D24" s="107" t="s">
        <v>185</v>
      </c>
      <c r="E24" s="108"/>
      <c r="F24" s="108"/>
      <c r="G24" s="109"/>
      <c r="H24" s="5"/>
      <c r="I24" s="1"/>
    </row>
    <row r="25" spans="1:9" x14ac:dyDescent="0.25">
      <c r="A25" s="1"/>
      <c r="B25" s="1"/>
      <c r="C25" s="6" t="s">
        <v>247</v>
      </c>
      <c r="D25" s="107" t="s">
        <v>238</v>
      </c>
      <c r="E25" s="108"/>
      <c r="F25" s="108"/>
      <c r="G25" s="109"/>
      <c r="H25" s="1"/>
      <c r="I25" s="1"/>
    </row>
    <row r="26" spans="1:9" x14ac:dyDescent="0.25">
      <c r="A26" s="1"/>
      <c r="B26" s="1"/>
      <c r="C26" s="6" t="s">
        <v>248</v>
      </c>
      <c r="D26" s="107" t="s">
        <v>84</v>
      </c>
      <c r="E26" s="108"/>
      <c r="F26" s="108"/>
      <c r="G26" s="109"/>
      <c r="H26" s="1"/>
      <c r="I26" s="1"/>
    </row>
    <row r="27" spans="1:9" x14ac:dyDescent="0.25">
      <c r="A27" s="1"/>
      <c r="B27" s="1"/>
      <c r="C27" s="6" t="s">
        <v>249</v>
      </c>
      <c r="D27" s="107" t="s">
        <v>85</v>
      </c>
      <c r="E27" s="108"/>
      <c r="F27" s="108"/>
      <c r="G27" s="109"/>
      <c r="H27" s="1"/>
      <c r="I27" s="1"/>
    </row>
    <row r="28" spans="1:9" x14ac:dyDescent="0.25">
      <c r="A28" s="1"/>
      <c r="B28" s="1"/>
      <c r="C28" s="6" t="s">
        <v>15</v>
      </c>
      <c r="D28" s="107" t="s">
        <v>86</v>
      </c>
      <c r="E28" s="108"/>
      <c r="F28" s="108"/>
      <c r="G28" s="109"/>
      <c r="H28" s="1"/>
      <c r="I28" s="1"/>
    </row>
    <row r="29" spans="1:9" x14ac:dyDescent="0.25">
      <c r="A29" s="1"/>
      <c r="B29" s="1"/>
      <c r="C29" s="6" t="s">
        <v>37</v>
      </c>
      <c r="D29" s="107" t="s">
        <v>134</v>
      </c>
      <c r="E29" s="108"/>
      <c r="F29" s="108"/>
      <c r="G29" s="109"/>
      <c r="H29" s="1"/>
      <c r="I29" s="1"/>
    </row>
    <row r="30" spans="1:9" x14ac:dyDescent="0.25">
      <c r="A30" s="1"/>
      <c r="B30" s="1"/>
      <c r="C30" s="6" t="s">
        <v>38</v>
      </c>
      <c r="D30" s="107" t="s">
        <v>36</v>
      </c>
      <c r="E30" s="108"/>
      <c r="F30" s="108"/>
      <c r="G30" s="109"/>
      <c r="H30" s="1"/>
      <c r="I30" s="1"/>
    </row>
    <row r="31" spans="1:9" x14ac:dyDescent="0.25">
      <c r="A31" s="1"/>
      <c r="B31" s="1"/>
      <c r="C31" s="6" t="s">
        <v>250</v>
      </c>
      <c r="D31" s="118" t="s">
        <v>105</v>
      </c>
      <c r="E31" s="119"/>
      <c r="F31" s="119"/>
      <c r="G31" s="12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sheetData>
  <sheetProtection algorithmName="SHA-512" hashValue="nFOWhRctFGQnnuozyCyB/zT8d0il2UklFZEPpL0aBPRCKcKR6N9KLVqOxP6xNwpCZ7X2yu6ZLfqiFfKEeHHKGw==" saltValue="brBJyFjjaVj9UjFIhiSkI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1" t="s">
        <v>111</v>
      </c>
      <c r="C3" s="121"/>
      <c r="D3" s="121"/>
      <c r="E3" s="1"/>
      <c r="F3" s="1"/>
    </row>
    <row r="4" spans="1:6" ht="15" customHeight="1" x14ac:dyDescent="0.25">
      <c r="A4" s="1"/>
      <c r="B4" s="121"/>
      <c r="C4" s="121"/>
      <c r="D4" s="12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9" t="s">
        <v>199</v>
      </c>
      <c r="C8" s="130"/>
      <c r="D8" s="131"/>
      <c r="E8" s="1"/>
      <c r="F8" s="1"/>
    </row>
    <row r="9" spans="1:6" ht="15" customHeight="1" x14ac:dyDescent="0.25">
      <c r="A9" s="1"/>
      <c r="B9" s="27" t="s">
        <v>32</v>
      </c>
      <c r="C9" s="61" t="s">
        <v>241</v>
      </c>
      <c r="D9" s="11"/>
      <c r="E9" s="1"/>
      <c r="F9" s="1"/>
    </row>
    <row r="10" spans="1:6" x14ac:dyDescent="0.25">
      <c r="A10" s="1"/>
      <c r="B10" s="92" t="s">
        <v>266</v>
      </c>
      <c r="C10" s="9">
        <v>1534062</v>
      </c>
      <c r="D10" s="14" t="s">
        <v>3</v>
      </c>
      <c r="E10" s="1"/>
      <c r="F10" s="1"/>
    </row>
    <row r="11" spans="1:6" x14ac:dyDescent="0.25">
      <c r="A11" s="1"/>
      <c r="B11" s="92" t="s">
        <v>267</v>
      </c>
      <c r="C11" s="9">
        <v>95660</v>
      </c>
      <c r="D11" s="14" t="s">
        <v>3</v>
      </c>
      <c r="E11" s="1"/>
      <c r="F11" s="1"/>
    </row>
    <row r="12" spans="1:6" x14ac:dyDescent="0.25">
      <c r="A12" s="1"/>
      <c r="B12" s="92" t="s">
        <v>268</v>
      </c>
      <c r="C12" s="9">
        <v>171250</v>
      </c>
      <c r="D12" s="14" t="s">
        <v>3</v>
      </c>
      <c r="E12" s="1"/>
      <c r="F12" s="1"/>
    </row>
    <row r="13" spans="1:6" x14ac:dyDescent="0.25">
      <c r="A13" s="1"/>
      <c r="B13" s="92" t="s">
        <v>269</v>
      </c>
      <c r="C13" s="9">
        <v>84785</v>
      </c>
      <c r="D13" s="14" t="s">
        <v>3</v>
      </c>
      <c r="E13" s="1"/>
      <c r="F13" s="1"/>
    </row>
    <row r="14" spans="1:6" x14ac:dyDescent="0.25">
      <c r="A14" s="1"/>
      <c r="B14" s="33" t="s">
        <v>200</v>
      </c>
      <c r="C14" s="12">
        <f>SUM(C10:C13)</f>
        <v>1885757</v>
      </c>
      <c r="D14" s="13" t="s">
        <v>3</v>
      </c>
      <c r="E14" s="1"/>
      <c r="F14" s="1"/>
    </row>
    <row r="15" spans="1:6" x14ac:dyDescent="0.25">
      <c r="A15" s="1"/>
      <c r="B15" s="33" t="s">
        <v>201</v>
      </c>
      <c r="C15" s="12">
        <f>C14*(1+'Fane 15. Nøgletal'!C15)^2</f>
        <v>2022412.8313915201</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9" t="s">
        <v>117</v>
      </c>
      <c r="C18" s="130"/>
      <c r="D18" s="131"/>
      <c r="E18" s="1"/>
      <c r="F18" s="1"/>
    </row>
    <row r="19" spans="1:6" x14ac:dyDescent="0.25">
      <c r="A19" s="1"/>
      <c r="B19" s="92" t="s">
        <v>99</v>
      </c>
      <c r="C19" s="9">
        <v>0</v>
      </c>
      <c r="D19" s="14" t="s">
        <v>3</v>
      </c>
      <c r="E19" s="1"/>
      <c r="F19" s="1"/>
    </row>
    <row r="20" spans="1:6" x14ac:dyDescent="0.25">
      <c r="A20" s="1"/>
      <c r="B20" s="92" t="s">
        <v>129</v>
      </c>
      <c r="C20" s="9">
        <v>0</v>
      </c>
      <c r="D20" s="14" t="s">
        <v>3</v>
      </c>
      <c r="E20" s="1"/>
      <c r="F20" s="1"/>
    </row>
    <row r="21" spans="1:6" x14ac:dyDescent="0.25">
      <c r="A21" s="1"/>
      <c r="B21" s="92" t="s">
        <v>155</v>
      </c>
      <c r="C21" s="9">
        <v>0</v>
      </c>
      <c r="D21" s="14" t="s">
        <v>3</v>
      </c>
      <c r="E21" s="1"/>
      <c r="F21" s="1"/>
    </row>
    <row r="22" spans="1:6" x14ac:dyDescent="0.25">
      <c r="A22" s="1"/>
      <c r="B22" s="34" t="s">
        <v>202</v>
      </c>
      <c r="C22" s="9">
        <v>0</v>
      </c>
      <c r="D22" s="41" t="s">
        <v>3</v>
      </c>
      <c r="E22" s="1"/>
      <c r="F22" s="1"/>
    </row>
    <row r="23" spans="1:6" x14ac:dyDescent="0.25">
      <c r="A23" s="1"/>
      <c r="B23" s="129"/>
      <c r="C23" s="130"/>
      <c r="D23" s="131"/>
      <c r="E23" s="1"/>
      <c r="F23" s="1"/>
    </row>
    <row r="24" spans="1:6" x14ac:dyDescent="0.25">
      <c r="A24" s="1"/>
      <c r="B24" s="1"/>
      <c r="C24" s="1"/>
      <c r="D24" s="1"/>
      <c r="E24" s="1"/>
      <c r="F24" s="1"/>
    </row>
    <row r="25" spans="1:6" x14ac:dyDescent="0.25">
      <c r="A25" s="1"/>
      <c r="B25" s="1"/>
      <c r="C25" s="1"/>
      <c r="D25" s="1"/>
      <c r="E25" s="1"/>
      <c r="F25" s="1"/>
    </row>
    <row r="26" spans="1:6" x14ac:dyDescent="0.25">
      <c r="A26" s="1"/>
      <c r="B26" s="129" t="s">
        <v>98</v>
      </c>
      <c r="C26" s="130"/>
      <c r="D26" s="131"/>
      <c r="E26" s="1"/>
      <c r="F26" s="1"/>
    </row>
    <row r="27" spans="1:6" x14ac:dyDescent="0.25">
      <c r="A27" s="1"/>
      <c r="B27" s="92" t="s">
        <v>99</v>
      </c>
      <c r="C27" s="9">
        <v>0</v>
      </c>
      <c r="D27" s="14" t="s">
        <v>3</v>
      </c>
      <c r="E27" s="1"/>
      <c r="F27" s="1"/>
    </row>
    <row r="28" spans="1:6" x14ac:dyDescent="0.25">
      <c r="A28" s="1"/>
      <c r="B28" s="92" t="s">
        <v>129</v>
      </c>
      <c r="C28" s="9">
        <v>0</v>
      </c>
      <c r="D28" s="14" t="s">
        <v>3</v>
      </c>
      <c r="E28" s="1"/>
      <c r="F28" s="1"/>
    </row>
    <row r="29" spans="1:6" x14ac:dyDescent="0.25">
      <c r="A29" s="1"/>
      <c r="B29" s="92" t="s">
        <v>155</v>
      </c>
      <c r="C29" s="9">
        <v>0</v>
      </c>
      <c r="D29" s="14" t="s">
        <v>3</v>
      </c>
      <c r="E29" s="1"/>
      <c r="F29" s="1"/>
    </row>
    <row r="30" spans="1:6" x14ac:dyDescent="0.25">
      <c r="A30" s="1"/>
      <c r="B30" s="34" t="s">
        <v>202</v>
      </c>
      <c r="C30" s="9">
        <v>0</v>
      </c>
      <c r="D30" s="41" t="s">
        <v>3</v>
      </c>
      <c r="E30" s="1"/>
      <c r="F30" s="1"/>
    </row>
    <row r="31" spans="1:6" x14ac:dyDescent="0.25">
      <c r="A31" s="1"/>
      <c r="B31" s="129"/>
      <c r="C31" s="130"/>
      <c r="D31" s="13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52"/>
      <c r="B48" s="52"/>
      <c r="C48" s="52"/>
      <c r="D48" s="52"/>
      <c r="E48" s="52"/>
      <c r="F48" s="52"/>
    </row>
    <row r="49" spans="1:6" x14ac:dyDescent="0.25">
      <c r="A49" s="52"/>
      <c r="B49" s="52"/>
      <c r="C49" s="52"/>
      <c r="D49" s="52"/>
      <c r="E49" s="52"/>
      <c r="F49" s="52"/>
    </row>
    <row r="50" spans="1:6" x14ac:dyDescent="0.25">
      <c r="A50" s="52"/>
      <c r="B50" s="52"/>
      <c r="C50" s="52"/>
      <c r="D50" s="52"/>
      <c r="E50" s="52"/>
      <c r="F50" s="52"/>
    </row>
    <row r="51" spans="1:6" x14ac:dyDescent="0.25">
      <c r="A51" s="52"/>
      <c r="B51" s="52"/>
      <c r="C51" s="52"/>
      <c r="D51" s="52"/>
      <c r="E51" s="52"/>
      <c r="F51" s="52"/>
    </row>
  </sheetData>
  <sheetProtection algorithmName="SHA-512" hashValue="ezR2Axw4UumEG4U3I+iKEHpMEFLrJd+b10WZwC4Lh3rpvgdMyitTT04mHInLWngY+4AXxPpjmKgfBb2Eda/hXA==" saltValue="49JDQt3XP7EU/GUmAZjZ2A=="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7" t="s">
        <v>203</v>
      </c>
      <c r="C3" s="137"/>
      <c r="D3" s="137"/>
      <c r="E3" s="137"/>
      <c r="F3" s="137"/>
      <c r="G3" s="1"/>
    </row>
    <row r="4" spans="1:7" ht="15" customHeight="1" x14ac:dyDescent="0.25">
      <c r="A4" s="1"/>
      <c r="B4" s="137"/>
      <c r="C4" s="137"/>
      <c r="D4" s="137"/>
      <c r="E4" s="137"/>
      <c r="F4" s="137"/>
      <c r="G4" s="1"/>
    </row>
    <row r="5" spans="1:7" ht="15" customHeight="1" x14ac:dyDescent="0.25">
      <c r="A5" s="1"/>
      <c r="B5" s="80"/>
      <c r="C5" s="80"/>
      <c r="D5" s="80"/>
      <c r="E5" s="80"/>
      <c r="F5" s="80"/>
      <c r="G5" s="1"/>
    </row>
    <row r="6" spans="1:7" ht="15" customHeight="1" x14ac:dyDescent="0.25">
      <c r="A6" s="1"/>
      <c r="B6" s="80"/>
      <c r="C6" s="80"/>
      <c r="D6" s="80"/>
      <c r="E6" s="80"/>
      <c r="F6" s="80"/>
      <c r="G6" s="1"/>
    </row>
    <row r="7" spans="1:7" x14ac:dyDescent="0.25">
      <c r="A7" s="1"/>
      <c r="B7" s="1"/>
      <c r="C7" s="1"/>
      <c r="D7" s="1"/>
      <c r="E7" s="1"/>
      <c r="F7" s="1"/>
      <c r="G7" s="1"/>
    </row>
    <row r="8" spans="1:7" x14ac:dyDescent="0.25">
      <c r="A8" s="1"/>
      <c r="B8" s="129" t="s">
        <v>178</v>
      </c>
      <c r="C8" s="130"/>
      <c r="D8" s="130"/>
      <c r="E8" s="130"/>
      <c r="F8" s="131"/>
      <c r="G8" s="1"/>
    </row>
    <row r="9" spans="1:7" x14ac:dyDescent="0.25">
      <c r="A9" s="1"/>
      <c r="B9" s="138" t="s">
        <v>204</v>
      </c>
      <c r="C9" s="139"/>
      <c r="D9" s="140"/>
      <c r="E9" s="9">
        <v>-3687991.9719685912</v>
      </c>
      <c r="F9" s="14" t="s">
        <v>3</v>
      </c>
      <c r="G9" s="1"/>
    </row>
    <row r="10" spans="1:7" x14ac:dyDescent="0.25">
      <c r="A10" s="1"/>
      <c r="B10" s="138" t="s">
        <v>264</v>
      </c>
      <c r="C10" s="139"/>
      <c r="D10" s="140"/>
      <c r="E10" s="9">
        <v>-3687991.9719685912</v>
      </c>
      <c r="F10" s="14" t="s">
        <v>3</v>
      </c>
      <c r="G10" s="1"/>
    </row>
    <row r="11" spans="1:7" x14ac:dyDescent="0.25">
      <c r="A11" s="1"/>
      <c r="B11" s="33"/>
      <c r="C11" s="28"/>
      <c r="D11" s="28"/>
      <c r="E11" s="28"/>
      <c r="F11" s="19"/>
      <c r="G11" s="1"/>
    </row>
    <row r="12" spans="1:7" ht="78.75" customHeight="1" x14ac:dyDescent="0.25">
      <c r="A12" s="1"/>
      <c r="B12" s="132" t="s">
        <v>288</v>
      </c>
      <c r="C12" s="133"/>
      <c r="D12" s="133"/>
      <c r="E12" s="133"/>
      <c r="F12" s="134"/>
      <c r="G12" s="1"/>
    </row>
    <row r="13" spans="1:7" ht="27" customHeight="1" x14ac:dyDescent="0.25">
      <c r="A13" s="1"/>
      <c r="B13" s="1"/>
      <c r="C13" s="1"/>
      <c r="D13" s="1"/>
      <c r="E13" s="1"/>
      <c r="F13" s="1"/>
      <c r="G13" s="1"/>
    </row>
    <row r="14" spans="1:7" ht="28.5" customHeight="1" x14ac:dyDescent="0.25">
      <c r="A14" s="1"/>
      <c r="B14" s="129" t="s">
        <v>179</v>
      </c>
      <c r="C14" s="130"/>
      <c r="D14" s="130"/>
      <c r="E14" s="130"/>
      <c r="F14" s="131"/>
      <c r="G14" s="1"/>
    </row>
    <row r="15" spans="1:7" x14ac:dyDescent="0.25">
      <c r="A15" s="1"/>
      <c r="B15" s="138" t="s">
        <v>283</v>
      </c>
      <c r="C15" s="139"/>
      <c r="D15" s="140"/>
      <c r="E15" s="9">
        <v>-1934012.4859842956</v>
      </c>
      <c r="F15" s="14" t="s">
        <v>3</v>
      </c>
      <c r="G15" s="1"/>
    </row>
    <row r="16" spans="1:7" x14ac:dyDescent="0.25">
      <c r="A16" s="1"/>
      <c r="B16" s="138" t="s">
        <v>284</v>
      </c>
      <c r="C16" s="139"/>
      <c r="D16" s="140"/>
      <c r="E16" s="9">
        <v>-1934012.4859842956</v>
      </c>
      <c r="F16" s="14" t="s">
        <v>3</v>
      </c>
      <c r="G16" s="1"/>
    </row>
    <row r="17" spans="1:7" x14ac:dyDescent="0.25">
      <c r="A17" s="1"/>
      <c r="B17" s="33"/>
      <c r="C17" s="28"/>
      <c r="D17" s="28"/>
      <c r="E17" s="28"/>
      <c r="F17" s="19"/>
      <c r="G17" s="1"/>
    </row>
    <row r="18" spans="1:7" ht="27.75" customHeight="1" x14ac:dyDescent="0.25">
      <c r="A18" s="1"/>
      <c r="B18" s="132" t="s">
        <v>289</v>
      </c>
      <c r="C18" s="133"/>
      <c r="D18" s="133"/>
      <c r="E18" s="133"/>
      <c r="F18" s="134"/>
      <c r="G18" s="1"/>
    </row>
    <row r="19" spans="1:7" ht="28.5" customHeight="1" x14ac:dyDescent="0.25">
      <c r="A19" s="1"/>
      <c r="B19" s="1"/>
      <c r="C19" s="1"/>
      <c r="D19" s="1"/>
      <c r="E19" s="1"/>
      <c r="F19" s="1"/>
      <c r="G19" s="1"/>
    </row>
    <row r="20" spans="1:7" ht="28.5" customHeight="1" x14ac:dyDescent="0.25">
      <c r="A20" s="1"/>
      <c r="B20" s="84" t="s">
        <v>205</v>
      </c>
      <c r="C20" s="85"/>
      <c r="D20" s="85"/>
      <c r="E20" s="85"/>
      <c r="F20" s="86"/>
      <c r="G20" s="1"/>
    </row>
    <row r="21" spans="1:7" x14ac:dyDescent="0.25">
      <c r="A21" s="1"/>
      <c r="B21" s="89" t="s">
        <v>206</v>
      </c>
      <c r="C21" s="90"/>
      <c r="D21" s="91"/>
      <c r="E21" s="9">
        <v>71435695.048088938</v>
      </c>
      <c r="F21" s="14" t="s">
        <v>3</v>
      </c>
      <c r="G21" s="1"/>
    </row>
    <row r="22" spans="1:7" x14ac:dyDescent="0.25">
      <c r="A22" s="1"/>
      <c r="B22" s="89" t="s">
        <v>207</v>
      </c>
      <c r="C22" s="90"/>
      <c r="D22" s="91"/>
      <c r="E22" s="9">
        <v>73723479</v>
      </c>
      <c r="F22" s="14" t="s">
        <v>3</v>
      </c>
      <c r="G22" s="1"/>
    </row>
    <row r="23" spans="1:7" x14ac:dyDescent="0.25">
      <c r="A23" s="1"/>
      <c r="B23" s="89" t="s">
        <v>33</v>
      </c>
      <c r="C23" s="90"/>
      <c r="D23" s="91"/>
      <c r="E23" s="9">
        <v>0</v>
      </c>
      <c r="F23" s="14" t="s">
        <v>3</v>
      </c>
      <c r="G23" s="1"/>
    </row>
    <row r="24" spans="1:7" x14ac:dyDescent="0.25">
      <c r="A24" s="1"/>
      <c r="B24" s="87" t="s">
        <v>271</v>
      </c>
      <c r="C24" s="88"/>
      <c r="D24" s="94"/>
      <c r="E24" s="76">
        <f>E21-(E22-E23)</f>
        <v>-2287783.951911062</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9" t="s">
        <v>285</v>
      </c>
      <c r="C27" s="130"/>
      <c r="D27" s="130"/>
      <c r="E27" s="130"/>
      <c r="F27" s="131"/>
      <c r="G27" s="1"/>
    </row>
    <row r="28" spans="1:7" x14ac:dyDescent="0.25">
      <c r="A28" s="1"/>
      <c r="B28" s="135" t="s">
        <v>286</v>
      </c>
      <c r="C28" s="136"/>
      <c r="D28" s="159"/>
      <c r="E28" s="77">
        <f>IF(AND(E9&gt;0,(E9+E24)&gt;0),0,IF(AND(E9&gt;0,(E9+E24)&lt;0),0,IF(AND(E9&lt;0,E24&gt;0,E10=0),0,IF(AND(E9&lt;0,E24&gt;0,ABS(E10)&lt;ABS(E24)),ABS(E16),IF(AND(E9&lt;0,E24&gt;0,ABS(E10)&gt;ABS(E24),ABS(E16)&gt;ABS(E24)),-(ABS(E16)-ABS(E24)),IF(AND(E9&lt;0,E24&gt;0,ABS(E10)&gt;ABS(E24),ABS(E16)&lt;ABS(E24)),E24-ABS(E16),IF(AND(E9&lt;0,E24&lt;0),E16,0)))))))</f>
        <v>-1934012.4859842956</v>
      </c>
      <c r="F28" s="17" t="s">
        <v>3</v>
      </c>
      <c r="G28" s="1"/>
    </row>
    <row r="29" spans="1:7" x14ac:dyDescent="0.25">
      <c r="A29" s="1"/>
      <c r="B29" s="129"/>
      <c r="C29" s="130"/>
      <c r="D29" s="130"/>
      <c r="E29" s="130"/>
      <c r="F29" s="131"/>
      <c r="G29" s="1"/>
    </row>
    <row r="30" spans="1:7" x14ac:dyDescent="0.25">
      <c r="A30" s="1"/>
      <c r="B30" s="1"/>
      <c r="C30" s="1"/>
      <c r="D30" s="1"/>
      <c r="E30" s="1"/>
      <c r="F30" s="1"/>
      <c r="G30" s="1"/>
    </row>
    <row r="31" spans="1:7" ht="28.5" customHeight="1" x14ac:dyDescent="0.25">
      <c r="A31" s="1"/>
      <c r="B31" s="129" t="s">
        <v>265</v>
      </c>
      <c r="C31" s="130"/>
      <c r="D31" s="130"/>
      <c r="E31" s="130"/>
      <c r="F31" s="131"/>
      <c r="G31" s="1"/>
    </row>
    <row r="32" spans="1:7" x14ac:dyDescent="0.25">
      <c r="A32" s="1"/>
      <c r="B32" s="156" t="s">
        <v>143</v>
      </c>
      <c r="C32" s="157"/>
      <c r="D32" s="158"/>
      <c r="E32" s="78">
        <f>IF(AND(E9&gt;0,(E9+E24)&gt;0),0,IF(AND(E9&gt;0,(E9+E24)&lt;0),(E9+E24),IF(AND(E9&lt;0,E24&lt;0),E24,0)))</f>
        <v>-2287783.951911062</v>
      </c>
      <c r="F32" s="14" t="s">
        <v>3</v>
      </c>
      <c r="G32" s="1"/>
    </row>
    <row r="33" spans="1:7" x14ac:dyDescent="0.25">
      <c r="A33" s="1"/>
      <c r="B33" s="156" t="s">
        <v>102</v>
      </c>
      <c r="C33" s="157"/>
      <c r="D33" s="158"/>
      <c r="E33" s="9">
        <v>4</v>
      </c>
      <c r="F33" s="14" t="s">
        <v>20</v>
      </c>
      <c r="G33" s="1"/>
    </row>
    <row r="34" spans="1:7" x14ac:dyDescent="0.25">
      <c r="A34" s="1"/>
      <c r="B34" s="152" t="s">
        <v>144</v>
      </c>
      <c r="C34" s="152"/>
      <c r="D34" s="152"/>
      <c r="E34" s="77">
        <f>E32/E33</f>
        <v>-571945.9879777655</v>
      </c>
      <c r="F34" s="17" t="s">
        <v>3</v>
      </c>
      <c r="G34" s="1"/>
    </row>
    <row r="35" spans="1:7" x14ac:dyDescent="0.25">
      <c r="A35" s="1"/>
      <c r="B35" s="153"/>
      <c r="C35" s="154"/>
      <c r="D35" s="154"/>
      <c r="E35" s="154"/>
      <c r="F35" s="155"/>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52"/>
      <c r="C41" s="52"/>
      <c r="D41" s="52"/>
      <c r="E41" s="52"/>
      <c r="F41" s="52"/>
    </row>
    <row r="42" spans="1:7" x14ac:dyDescent="0.25">
      <c r="A42" s="52"/>
      <c r="B42" s="52"/>
      <c r="C42" s="52"/>
      <c r="D42" s="52"/>
      <c r="E42" s="52"/>
      <c r="F42" s="52"/>
      <c r="G42" s="52"/>
    </row>
    <row r="43" spans="1:7" x14ac:dyDescent="0.25">
      <c r="A43" s="52"/>
      <c r="B43" s="52"/>
      <c r="C43" s="52"/>
      <c r="D43" s="52"/>
      <c r="E43" s="52"/>
      <c r="F43" s="52"/>
      <c r="G43" s="52"/>
    </row>
  </sheetData>
  <sheetProtection algorithmName="SHA-512" hashValue="hjDLrwuqNiVU8CU2ogGGGstguZdwhkYesvFIhS6RTAV3xne1T/8f1ZFheW0qyPFDlX2/P16hL8st+rhOcV2phg==" saltValue="kBUTiDKAYNNU7l7bQxIEIQ==" spinCount="100000" sheet="1" objects="1" scenarios="1"/>
  <mergeCells count="17">
    <mergeCell ref="B34:D34"/>
    <mergeCell ref="B35:F35"/>
    <mergeCell ref="B15:D15"/>
    <mergeCell ref="B16:D16"/>
    <mergeCell ref="B32:D32"/>
    <mergeCell ref="B29:F29"/>
    <mergeCell ref="B18:F18"/>
    <mergeCell ref="B27:F27"/>
    <mergeCell ref="B28:D28"/>
    <mergeCell ref="B31:F31"/>
    <mergeCell ref="B33:D33"/>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2" customWidth="1"/>
    <col min="2" max="2" width="22.5703125" style="72" customWidth="1"/>
    <col min="3" max="3" width="8.28515625" style="72" customWidth="1"/>
    <col min="4" max="6" width="10.7109375" style="72" customWidth="1"/>
    <col min="7" max="7" width="11.140625" style="72" customWidth="1"/>
    <col min="8" max="8" width="3.28515625" style="72" customWidth="1"/>
    <col min="9" max="9" width="4.85546875" style="72" customWidth="1"/>
    <col min="10" max="16384" width="9.140625" style="7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1" t="s">
        <v>251</v>
      </c>
      <c r="C3" s="121"/>
      <c r="D3" s="121"/>
      <c r="E3" s="121"/>
      <c r="F3" s="121"/>
      <c r="G3" s="121"/>
      <c r="H3" s="121"/>
      <c r="I3" s="1"/>
    </row>
    <row r="4" spans="1:9" ht="15" customHeight="1" x14ac:dyDescent="0.25">
      <c r="A4" s="1"/>
      <c r="B4" s="121"/>
      <c r="C4" s="121"/>
      <c r="D4" s="121"/>
      <c r="E4" s="121"/>
      <c r="F4" s="121"/>
      <c r="G4" s="121"/>
      <c r="H4" s="12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9" t="s">
        <v>263</v>
      </c>
      <c r="C8" s="130"/>
      <c r="D8" s="130"/>
      <c r="E8" s="130"/>
      <c r="F8" s="130"/>
      <c r="G8" s="130"/>
      <c r="H8" s="131"/>
      <c r="I8" s="1"/>
    </row>
    <row r="9" spans="1:9" ht="15" customHeight="1" x14ac:dyDescent="0.25">
      <c r="A9" s="1"/>
      <c r="B9" s="126" t="s">
        <v>252</v>
      </c>
      <c r="C9" s="127"/>
      <c r="D9" s="127"/>
      <c r="E9" s="127"/>
      <c r="F9" s="127"/>
      <c r="G9" s="127"/>
      <c r="H9" s="128"/>
      <c r="I9" s="1"/>
    </row>
    <row r="10" spans="1:9" x14ac:dyDescent="0.25">
      <c r="A10" s="1"/>
      <c r="B10" s="160" t="s">
        <v>275</v>
      </c>
      <c r="C10" s="161"/>
      <c r="D10" s="161"/>
      <c r="E10" s="161"/>
      <c r="F10" s="162"/>
      <c r="G10" s="9">
        <v>0</v>
      </c>
      <c r="H10" s="9" t="s">
        <v>3</v>
      </c>
      <c r="I10" s="1"/>
    </row>
    <row r="11" spans="1:9" x14ac:dyDescent="0.25">
      <c r="A11" s="1"/>
      <c r="B11" s="160" t="s">
        <v>276</v>
      </c>
      <c r="C11" s="161"/>
      <c r="D11" s="161"/>
      <c r="E11" s="161"/>
      <c r="F11" s="162"/>
      <c r="G11" s="9">
        <v>0</v>
      </c>
      <c r="H11" s="9" t="s">
        <v>3</v>
      </c>
      <c r="I11" s="1"/>
    </row>
    <row r="12" spans="1:9" x14ac:dyDescent="0.25">
      <c r="A12" s="1"/>
      <c r="B12" s="160" t="s">
        <v>277</v>
      </c>
      <c r="C12" s="161"/>
      <c r="D12" s="161"/>
      <c r="E12" s="161"/>
      <c r="F12" s="162"/>
      <c r="G12" s="9">
        <v>0</v>
      </c>
      <c r="H12" s="9" t="s">
        <v>3</v>
      </c>
      <c r="I12" s="1"/>
    </row>
    <row r="13" spans="1:9" x14ac:dyDescent="0.25">
      <c r="A13" s="1"/>
      <c r="B13" s="160" t="s">
        <v>278</v>
      </c>
      <c r="C13" s="161"/>
      <c r="D13" s="161"/>
      <c r="E13" s="161"/>
      <c r="F13" s="162"/>
      <c r="G13" s="9">
        <v>0</v>
      </c>
      <c r="H13" s="9" t="s">
        <v>3</v>
      </c>
      <c r="I13" s="1"/>
    </row>
    <row r="14" spans="1:9" x14ac:dyDescent="0.25">
      <c r="A14" s="1"/>
      <c r="B14" s="160" t="s">
        <v>279</v>
      </c>
      <c r="C14" s="161"/>
      <c r="D14" s="161"/>
      <c r="E14" s="161"/>
      <c r="F14" s="162"/>
      <c r="G14" s="9">
        <v>0</v>
      </c>
      <c r="H14" s="9" t="s">
        <v>3</v>
      </c>
      <c r="I14" s="1"/>
    </row>
    <row r="15" spans="1:9" x14ac:dyDescent="0.25">
      <c r="A15" s="1"/>
      <c r="B15" s="160" t="s">
        <v>280</v>
      </c>
      <c r="C15" s="161"/>
      <c r="D15" s="161"/>
      <c r="E15" s="161"/>
      <c r="F15" s="162"/>
      <c r="G15" s="9">
        <v>0</v>
      </c>
      <c r="H15" s="9" t="s">
        <v>3</v>
      </c>
      <c r="I15" s="1"/>
    </row>
    <row r="16" spans="1:9" x14ac:dyDescent="0.25">
      <c r="A16" s="1"/>
      <c r="B16" s="160" t="s">
        <v>281</v>
      </c>
      <c r="C16" s="161"/>
      <c r="D16" s="161"/>
      <c r="E16" s="161"/>
      <c r="F16" s="162"/>
      <c r="G16" s="9">
        <v>0</v>
      </c>
      <c r="H16" s="9" t="s">
        <v>3</v>
      </c>
      <c r="I16" s="1"/>
    </row>
    <row r="17" spans="1:9" x14ac:dyDescent="0.25">
      <c r="A17" s="1"/>
      <c r="B17" s="160" t="s">
        <v>282</v>
      </c>
      <c r="C17" s="161"/>
      <c r="D17" s="161"/>
      <c r="E17" s="161"/>
      <c r="F17" s="162"/>
      <c r="G17" s="9">
        <v>0</v>
      </c>
      <c r="H17" s="9" t="s">
        <v>3</v>
      </c>
      <c r="I17" s="1"/>
    </row>
    <row r="18" spans="1:9" x14ac:dyDescent="0.25">
      <c r="A18" s="1"/>
      <c r="B18" s="129" t="s">
        <v>253</v>
      </c>
      <c r="C18" s="130"/>
      <c r="D18" s="130"/>
      <c r="E18" s="130"/>
      <c r="F18" s="13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m2q7xdG6+MSM1iajlu3NFYBHT0PGCGAxCqeTOr3vANtAJJmtXspIwDZ6R8j11ouNGS+A+uU01fnhac1slPzpUw==" saltValue="sBCJSiIoC+O0WfOsjDJ72g=="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7" t="s">
        <v>255</v>
      </c>
      <c r="C3" s="137"/>
      <c r="D3" s="137"/>
      <c r="E3" s="137"/>
      <c r="F3" s="137"/>
      <c r="G3" s="1"/>
    </row>
    <row r="4" spans="1:7" ht="15" customHeight="1" x14ac:dyDescent="0.25">
      <c r="A4" s="1"/>
      <c r="B4" s="137"/>
      <c r="C4" s="137"/>
      <c r="D4" s="137"/>
      <c r="E4" s="137"/>
      <c r="F4" s="13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208</v>
      </c>
      <c r="C9" s="130"/>
      <c r="D9" s="130"/>
      <c r="E9" s="130"/>
      <c r="F9" s="131"/>
      <c r="G9" s="1"/>
    </row>
    <row r="10" spans="1:7" x14ac:dyDescent="0.25">
      <c r="A10" s="1"/>
      <c r="B10" s="132" t="s">
        <v>100</v>
      </c>
      <c r="C10" s="133"/>
      <c r="D10" s="134"/>
      <c r="E10" s="7">
        <v>0</v>
      </c>
      <c r="F10" s="8" t="s">
        <v>3</v>
      </c>
      <c r="G10" s="1"/>
    </row>
    <row r="11" spans="1:7" x14ac:dyDescent="0.25">
      <c r="A11" s="1"/>
      <c r="B11" s="138" t="s">
        <v>209</v>
      </c>
      <c r="C11" s="139"/>
      <c r="D11" s="140"/>
      <c r="E11" s="7">
        <v>0</v>
      </c>
      <c r="F11" s="8" t="s">
        <v>3</v>
      </c>
      <c r="G11" s="1"/>
    </row>
    <row r="12" spans="1:7" x14ac:dyDescent="0.25">
      <c r="A12" s="1"/>
      <c r="B12" s="135" t="s">
        <v>101</v>
      </c>
      <c r="C12" s="136"/>
      <c r="D12" s="159"/>
      <c r="E12" s="10">
        <f>E11-E10</f>
        <v>0</v>
      </c>
      <c r="F12" s="11" t="s">
        <v>3</v>
      </c>
      <c r="G12" s="1"/>
    </row>
    <row r="13" spans="1:7" x14ac:dyDescent="0.25">
      <c r="A13" s="1"/>
      <c r="B13" s="129" t="s">
        <v>94</v>
      </c>
      <c r="C13" s="130"/>
      <c r="D13" s="130"/>
      <c r="E13" s="130"/>
      <c r="F13" s="131"/>
      <c r="G13" s="1"/>
    </row>
    <row r="14" spans="1:7" x14ac:dyDescent="0.25">
      <c r="A14" s="1"/>
      <c r="B14" s="138" t="s">
        <v>210</v>
      </c>
      <c r="C14" s="139"/>
      <c r="D14" s="140"/>
      <c r="E14" s="9">
        <v>0</v>
      </c>
      <c r="F14" s="8" t="s">
        <v>3</v>
      </c>
      <c r="G14" s="1"/>
    </row>
    <row r="15" spans="1:7" x14ac:dyDescent="0.25">
      <c r="A15" s="1"/>
      <c r="B15" s="132" t="s">
        <v>211</v>
      </c>
      <c r="C15" s="133"/>
      <c r="D15" s="134"/>
      <c r="E15" s="9">
        <v>0</v>
      </c>
      <c r="F15" s="8" t="s">
        <v>3</v>
      </c>
      <c r="G15" s="1"/>
    </row>
    <row r="16" spans="1:7" x14ac:dyDescent="0.25">
      <c r="A16" s="1"/>
      <c r="B16" s="135" t="s">
        <v>101</v>
      </c>
      <c r="C16" s="136"/>
      <c r="D16" s="159"/>
      <c r="E16" s="10">
        <f>E15-E14</f>
        <v>0</v>
      </c>
      <c r="F16" s="11" t="s">
        <v>3</v>
      </c>
      <c r="G16" s="1"/>
    </row>
    <row r="17" spans="1:7" x14ac:dyDescent="0.25">
      <c r="A17" s="1"/>
      <c r="B17" s="33" t="s">
        <v>212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Op88M5jrQm//pPMFyAlJdgeSFas9jyFRWsZ8mpCmbhhop+H/I76GHwpDVvORWG91KJX8tAo9xjpaW9RO0F+nQ==" saltValue="0eX2oTqUVoYZSjOOJpKyj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2.2851562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1" t="s">
        <v>256</v>
      </c>
      <c r="C3" s="121"/>
      <c r="D3" s="121"/>
      <c r="E3" s="121"/>
      <c r="F3" s="121"/>
      <c r="G3" s="121"/>
      <c r="H3" s="121"/>
      <c r="I3" s="121"/>
      <c r="J3" s="121"/>
      <c r="K3" s="121"/>
      <c r="L3" s="1"/>
    </row>
    <row r="4" spans="1:12" ht="15" customHeight="1" x14ac:dyDescent="0.25">
      <c r="A4" s="1"/>
      <c r="B4" s="121"/>
      <c r="C4" s="121"/>
      <c r="D4" s="121"/>
      <c r="E4" s="121"/>
      <c r="F4" s="121"/>
      <c r="G4" s="121"/>
      <c r="H4" s="121"/>
      <c r="I4" s="121"/>
      <c r="J4" s="121"/>
      <c r="K4" s="12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9" t="s">
        <v>220</v>
      </c>
      <c r="C8" s="130"/>
      <c r="D8" s="130"/>
      <c r="E8" s="130"/>
      <c r="F8" s="130"/>
      <c r="G8" s="130"/>
      <c r="H8" s="130"/>
      <c r="I8" s="130"/>
      <c r="J8" s="130"/>
      <c r="K8" s="131"/>
      <c r="L8" s="1"/>
    </row>
    <row r="9" spans="1:12" ht="39.75" customHeight="1" x14ac:dyDescent="0.25">
      <c r="A9" s="1"/>
      <c r="B9" s="18" t="s">
        <v>0</v>
      </c>
      <c r="C9" s="18" t="s">
        <v>1</v>
      </c>
      <c r="D9" s="163" t="s">
        <v>246</v>
      </c>
      <c r="E9" s="164"/>
      <c r="F9" s="163" t="s">
        <v>2</v>
      </c>
      <c r="G9" s="164"/>
      <c r="H9" s="163" t="s">
        <v>245</v>
      </c>
      <c r="I9" s="164"/>
      <c r="J9" s="163" t="s">
        <v>30</v>
      </c>
      <c r="K9" s="164"/>
      <c r="L9" s="1"/>
    </row>
    <row r="10" spans="1:12" x14ac:dyDescent="0.25">
      <c r="A10" s="1"/>
      <c r="B10" s="95" t="s">
        <v>270</v>
      </c>
      <c r="C10" s="42">
        <v>0</v>
      </c>
      <c r="D10" s="9">
        <v>0</v>
      </c>
      <c r="E10" s="14" t="s">
        <v>3</v>
      </c>
      <c r="F10" s="9">
        <f>IFERROR(D10/C10,0)</f>
        <v>0</v>
      </c>
      <c r="G10" s="14" t="s">
        <v>3</v>
      </c>
      <c r="H10" s="45">
        <v>0</v>
      </c>
      <c r="I10" s="14" t="s">
        <v>3</v>
      </c>
      <c r="J10" s="45">
        <v>0</v>
      </c>
      <c r="K10" s="14" t="s">
        <v>3</v>
      </c>
      <c r="L10" s="1"/>
    </row>
    <row r="11" spans="1:12" x14ac:dyDescent="0.25">
      <c r="A11" s="1"/>
      <c r="B11" s="84" t="s">
        <v>221</v>
      </c>
      <c r="C11" s="85"/>
      <c r="D11" s="86"/>
      <c r="E11" s="86"/>
      <c r="F11" s="12">
        <f>SUM(F10:F10)</f>
        <v>0</v>
      </c>
      <c r="G11" s="12" t="s">
        <v>244</v>
      </c>
      <c r="H11" s="12">
        <f>SUM(H10:H10)</f>
        <v>0</v>
      </c>
      <c r="I11" s="12" t="s">
        <v>244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vXVq/KE/Vyc3KxXK0tjWGiQxynoToPirG4ug7OxdhTJ6sWsqMSpEI1y3niekRAG4rHumfYRCj8ePWTe07iewOg==" saltValue="KjYFZcNoHCeEIJB//Bdxv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257</v>
      </c>
      <c r="C3" s="121"/>
      <c r="D3" s="121"/>
      <c r="E3" s="121"/>
      <c r="F3" s="121"/>
      <c r="G3" s="1"/>
    </row>
    <row r="4" spans="1:7" ht="1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2" t="s">
        <v>17</v>
      </c>
      <c r="C9" s="82" t="s">
        <v>11</v>
      </c>
      <c r="D9" s="83"/>
      <c r="E9" s="82" t="s">
        <v>31</v>
      </c>
      <c r="F9" s="32"/>
      <c r="G9" s="1"/>
    </row>
    <row r="10" spans="1:7" x14ac:dyDescent="0.25">
      <c r="A10" s="1"/>
      <c r="B10" s="24" t="s">
        <v>227</v>
      </c>
      <c r="C10" s="21">
        <f>'Fane 10. Anlægsprojekter (§ 19)'!H11</f>
        <v>0</v>
      </c>
      <c r="D10" s="14" t="s">
        <v>3</v>
      </c>
      <c r="E10" s="9">
        <f>SUM('Fane 10. Anlægsprojekter (§ 19)'!F11,'Fane 10. Anlægsprojekter (§ 19)'!J11)</f>
        <v>0</v>
      </c>
      <c r="F10" s="14" t="s">
        <v>3</v>
      </c>
      <c r="G10" s="1"/>
    </row>
    <row r="11" spans="1:7" x14ac:dyDescent="0.25">
      <c r="A11" s="1"/>
      <c r="B11" s="24" t="s">
        <v>273</v>
      </c>
      <c r="C11" s="21">
        <v>257699</v>
      </c>
      <c r="D11" s="14" t="s">
        <v>3</v>
      </c>
      <c r="E11" s="9">
        <v>151902</v>
      </c>
      <c r="F11" s="14" t="s">
        <v>3</v>
      </c>
      <c r="G11" s="1"/>
    </row>
    <row r="12" spans="1:7" x14ac:dyDescent="0.25">
      <c r="A12" s="1"/>
      <c r="B12" s="33" t="s">
        <v>156</v>
      </c>
      <c r="C12" s="12">
        <f>SUM(C10:C11)</f>
        <v>257699</v>
      </c>
      <c r="D12" s="13" t="s">
        <v>3</v>
      </c>
      <c r="E12" s="12">
        <f>SUM(E10:E11)</f>
        <v>151902</v>
      </c>
      <c r="F12" s="13" t="s">
        <v>3</v>
      </c>
      <c r="G12" s="1"/>
    </row>
    <row r="13" spans="1:7" x14ac:dyDescent="0.25">
      <c r="A13" s="1"/>
      <c r="B13" s="33" t="s">
        <v>213</v>
      </c>
      <c r="C13" s="12">
        <f>C12*(1+'Fane 15. Nøgletal'!C15)</f>
        <v>266873.08439999999</v>
      </c>
      <c r="D13" s="13" t="s">
        <v>3</v>
      </c>
      <c r="E13" s="12">
        <f>E12*(1+'Fane 15. Nøgletal'!C15)</f>
        <v>157309.71120000002</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hsA0pELshRO1sdg86Ajygc8sMLADMqaz4uP7gNnlrxrGHqUHkaRdIDxYLFN6IrL+TLofxJoEWJkWNnw4w1WUQ==" saltValue="VLQ53F62D6vlMo6Z7t8vi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258</v>
      </c>
      <c r="C3" s="121"/>
      <c r="D3" s="121"/>
      <c r="E3" s="121"/>
      <c r="F3" s="121"/>
      <c r="G3" s="1"/>
    </row>
    <row r="4" spans="1:7" ht="1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97</v>
      </c>
      <c r="C8" s="130"/>
      <c r="D8" s="130"/>
      <c r="E8" s="130"/>
      <c r="F8" s="131"/>
      <c r="G8" s="1"/>
    </row>
    <row r="9" spans="1:7" x14ac:dyDescent="0.25">
      <c r="A9" s="1"/>
      <c r="B9" s="82" t="s">
        <v>17</v>
      </c>
      <c r="C9" s="82" t="s">
        <v>11</v>
      </c>
      <c r="D9" s="83"/>
      <c r="E9" s="82" t="s">
        <v>31</v>
      </c>
      <c r="F9" s="32"/>
      <c r="G9" s="1"/>
    </row>
    <row r="10" spans="1:7" x14ac:dyDescent="0.25">
      <c r="A10" s="1"/>
      <c r="B10" s="24" t="s">
        <v>274</v>
      </c>
      <c r="C10" s="21">
        <v>0</v>
      </c>
      <c r="D10" s="14" t="s">
        <v>3</v>
      </c>
      <c r="E10" s="9">
        <v>0</v>
      </c>
      <c r="F10" s="14" t="s">
        <v>3</v>
      </c>
      <c r="G10" s="1"/>
    </row>
    <row r="11" spans="1:7" x14ac:dyDescent="0.25">
      <c r="A11" s="1"/>
      <c r="B11" s="33" t="s">
        <v>233</v>
      </c>
      <c r="C11" s="12">
        <f>SUM(C10:C10)</f>
        <v>0</v>
      </c>
      <c r="D11" s="13" t="s">
        <v>3</v>
      </c>
      <c r="E11" s="12">
        <f>SUM(E10:E10)</f>
        <v>0</v>
      </c>
      <c r="F11" s="13" t="s">
        <v>3</v>
      </c>
      <c r="G11" s="1"/>
    </row>
    <row r="12" spans="1:7" x14ac:dyDescent="0.25">
      <c r="A12" s="1"/>
      <c r="B12" s="33"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5"/>
      <c r="C14" s="165"/>
      <c r="D14" s="165"/>
      <c r="E14" s="165"/>
      <c r="F14" s="165"/>
      <c r="G14" s="1"/>
    </row>
    <row r="15" spans="1:7" x14ac:dyDescent="0.25">
      <c r="A15" s="1"/>
      <c r="B15" s="63"/>
      <c r="C15" s="63"/>
      <c r="D15" s="63"/>
      <c r="E15" s="63"/>
      <c r="F15" s="64"/>
      <c r="G15" s="1"/>
    </row>
    <row r="16" spans="1:7" x14ac:dyDescent="0.25">
      <c r="A16" s="1"/>
      <c r="B16" s="65"/>
      <c r="C16" s="66"/>
      <c r="D16" s="67"/>
      <c r="E16" s="68"/>
      <c r="F16" s="67"/>
      <c r="G16" s="1"/>
    </row>
    <row r="17" spans="1:7" x14ac:dyDescent="0.25">
      <c r="A17" s="1"/>
      <c r="B17" s="65"/>
      <c r="C17" s="66"/>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5"/>
      <c r="C21" s="165"/>
      <c r="D21" s="165"/>
      <c r="E21" s="165"/>
      <c r="F21" s="165"/>
      <c r="G21" s="1"/>
    </row>
    <row r="22" spans="1:7" x14ac:dyDescent="0.25">
      <c r="A22" s="1"/>
      <c r="B22" s="63"/>
      <c r="C22" s="63"/>
      <c r="D22" s="63"/>
      <c r="E22" s="63"/>
      <c r="F22" s="64"/>
      <c r="G22" s="1"/>
    </row>
    <row r="23" spans="1:7" x14ac:dyDescent="0.25">
      <c r="A23" s="1"/>
      <c r="B23" s="65"/>
      <c r="C23" s="66"/>
      <c r="D23" s="67"/>
      <c r="E23" s="68"/>
      <c r="F23" s="67"/>
      <c r="G23" s="1"/>
    </row>
    <row r="24" spans="1:7" x14ac:dyDescent="0.25">
      <c r="A24" s="1"/>
      <c r="B24" s="65"/>
      <c r="C24" s="66"/>
      <c r="D24" s="67"/>
      <c r="E24" s="68"/>
      <c r="F24" s="67"/>
      <c r="G24" s="1"/>
    </row>
    <row r="25" spans="1:7" x14ac:dyDescent="0.25">
      <c r="A25" s="1"/>
      <c r="B25" s="69"/>
      <c r="C25" s="70"/>
      <c r="D25" s="71"/>
      <c r="E25" s="70"/>
      <c r="F25" s="71"/>
      <c r="G25" s="1"/>
    </row>
    <row r="26" spans="1:7" x14ac:dyDescent="0.25">
      <c r="A26" s="1"/>
      <c r="B26" s="69"/>
      <c r="C26" s="70"/>
      <c r="D26" s="71"/>
      <c r="E26" s="70"/>
      <c r="F26" s="71"/>
      <c r="G26" s="1"/>
    </row>
    <row r="27" spans="1:7" x14ac:dyDescent="0.25">
      <c r="A27" s="1"/>
      <c r="B27" s="62"/>
      <c r="C27" s="62"/>
      <c r="D27" s="62"/>
      <c r="E27" s="62"/>
      <c r="F27" s="62"/>
      <c r="G27" s="1"/>
    </row>
    <row r="28" spans="1:7" x14ac:dyDescent="0.25">
      <c r="A28" s="1"/>
      <c r="B28" s="165"/>
      <c r="C28" s="165"/>
      <c r="D28" s="165"/>
      <c r="E28" s="165"/>
      <c r="F28" s="165"/>
      <c r="G28" s="1"/>
    </row>
    <row r="29" spans="1:7" x14ac:dyDescent="0.25">
      <c r="A29" s="1"/>
      <c r="B29" s="63"/>
      <c r="C29" s="63"/>
      <c r="D29" s="63"/>
      <c r="E29" s="63"/>
      <c r="F29" s="64"/>
      <c r="G29" s="1"/>
    </row>
    <row r="30" spans="1:7" x14ac:dyDescent="0.25">
      <c r="A30" s="1"/>
      <c r="B30" s="65"/>
      <c r="C30" s="66"/>
      <c r="D30" s="67"/>
      <c r="E30" s="68"/>
      <c r="F30" s="67"/>
      <c r="G30" s="1"/>
    </row>
    <row r="31" spans="1:7" x14ac:dyDescent="0.25">
      <c r="A31" s="1"/>
      <c r="B31" s="65"/>
      <c r="C31" s="66"/>
      <c r="D31" s="67"/>
      <c r="E31" s="68"/>
      <c r="F31" s="67"/>
      <c r="G31" s="1"/>
    </row>
    <row r="32" spans="1:7" x14ac:dyDescent="0.25">
      <c r="A32" s="1"/>
      <c r="B32" s="69"/>
      <c r="C32" s="70"/>
      <c r="D32" s="71"/>
      <c r="E32" s="70"/>
      <c r="F32" s="71"/>
      <c r="G32" s="1"/>
    </row>
    <row r="33" spans="1:7" x14ac:dyDescent="0.25">
      <c r="A33" s="1"/>
      <c r="B33" s="69"/>
      <c r="C33" s="70"/>
      <c r="D33" s="71"/>
      <c r="E33" s="70"/>
      <c r="F33" s="7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iSX3/Ztl5J0mMyQ4rH7Jc4ytmVz+KNA5bx0OKgZHqEVtJdn4aWRVFlIb5QJq/n3dr+xKolronyXrAWhJcjnN0Q==" saltValue="29NYdagrEd0t4Xy3fThaY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7" t="s">
        <v>259</v>
      </c>
      <c r="C3" s="137"/>
      <c r="D3" s="137"/>
      <c r="E3" s="137"/>
      <c r="F3" s="137"/>
      <c r="G3" s="1"/>
    </row>
    <row r="4" spans="1:7" ht="15" customHeight="1" x14ac:dyDescent="0.25">
      <c r="A4" s="1"/>
      <c r="B4" s="137"/>
      <c r="C4" s="137"/>
      <c r="D4" s="137"/>
      <c r="E4" s="137"/>
      <c r="F4" s="137"/>
      <c r="G4" s="1"/>
    </row>
    <row r="5" spans="1:7" x14ac:dyDescent="0.25">
      <c r="A5" s="1"/>
      <c r="B5" s="137"/>
      <c r="C5" s="137"/>
      <c r="D5" s="137"/>
      <c r="E5" s="137"/>
      <c r="F5" s="137"/>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9" t="s">
        <v>91</v>
      </c>
      <c r="C9" s="130"/>
      <c r="D9" s="130"/>
      <c r="E9" s="130"/>
      <c r="F9" s="131"/>
      <c r="G9" s="1"/>
    </row>
    <row r="10" spans="1:7" x14ac:dyDescent="0.25">
      <c r="A10" s="1"/>
      <c r="B10" s="160" t="s">
        <v>225</v>
      </c>
      <c r="C10" s="161"/>
      <c r="D10" s="162"/>
      <c r="E10" s="9">
        <v>0</v>
      </c>
      <c r="F10" s="14" t="s">
        <v>3</v>
      </c>
      <c r="G10" s="1"/>
    </row>
    <row r="11" spans="1:7" x14ac:dyDescent="0.25">
      <c r="A11" s="1"/>
      <c r="B11" s="123" t="s">
        <v>10</v>
      </c>
      <c r="C11" s="124"/>
      <c r="D11" s="125"/>
      <c r="E11" s="9">
        <f>-E10*'Fane 5. Individuelt eff. krav'!G9</f>
        <v>0</v>
      </c>
      <c r="F11" s="14" t="s">
        <v>3</v>
      </c>
      <c r="G11" s="1"/>
    </row>
    <row r="12" spans="1:7" x14ac:dyDescent="0.25">
      <c r="A12" s="1"/>
      <c r="B12" s="123" t="s">
        <v>24</v>
      </c>
      <c r="C12" s="124"/>
      <c r="D12" s="125"/>
      <c r="E12" s="9">
        <f>-E10*'Fane 15. Nøgletal'!C31</f>
        <v>0</v>
      </c>
      <c r="F12" s="14" t="s">
        <v>3</v>
      </c>
      <c r="G12" s="1"/>
    </row>
    <row r="13" spans="1:7" x14ac:dyDescent="0.25">
      <c r="A13" s="1"/>
      <c r="B13" s="129" t="s">
        <v>92</v>
      </c>
      <c r="C13" s="130"/>
      <c r="D13" s="131"/>
      <c r="E13" s="12">
        <f>SUM(E10:E12)*(1+'Fane 15. Nøgletal'!C15)^2</f>
        <v>0</v>
      </c>
      <c r="F13" s="13" t="s">
        <v>3</v>
      </c>
      <c r="G13" s="1"/>
    </row>
    <row r="14" spans="1:7" x14ac:dyDescent="0.25">
      <c r="A14" s="1"/>
      <c r="B14" s="1"/>
      <c r="C14" s="1"/>
      <c r="D14" s="1"/>
      <c r="E14" s="1"/>
      <c r="F14" s="1"/>
      <c r="G14" s="1"/>
    </row>
    <row r="15" spans="1:7" ht="15" customHeight="1" x14ac:dyDescent="0.25">
      <c r="A15" s="1"/>
      <c r="B15" s="129" t="s">
        <v>130</v>
      </c>
      <c r="C15" s="130"/>
      <c r="D15" s="130"/>
      <c r="E15" s="130"/>
      <c r="F15" s="131"/>
      <c r="G15" s="1"/>
    </row>
    <row r="16" spans="1:7" x14ac:dyDescent="0.25">
      <c r="A16" s="1"/>
      <c r="B16" s="160" t="s">
        <v>225</v>
      </c>
      <c r="C16" s="161"/>
      <c r="D16" s="162"/>
      <c r="E16" s="9">
        <v>0</v>
      </c>
      <c r="F16" s="14" t="s">
        <v>3</v>
      </c>
      <c r="G16" s="1"/>
    </row>
    <row r="17" spans="1:7" x14ac:dyDescent="0.25">
      <c r="A17" s="1"/>
      <c r="B17" s="123" t="s">
        <v>10</v>
      </c>
      <c r="C17" s="124"/>
      <c r="D17" s="125"/>
      <c r="E17" s="9">
        <f>-E16*'Fane 5. Individuelt eff. krav'!G9</f>
        <v>0</v>
      </c>
      <c r="F17" s="14" t="s">
        <v>3</v>
      </c>
      <c r="G17" s="1"/>
    </row>
    <row r="18" spans="1:7" x14ac:dyDescent="0.25">
      <c r="A18" s="1"/>
      <c r="B18" s="123" t="s">
        <v>24</v>
      </c>
      <c r="C18" s="124"/>
      <c r="D18" s="125"/>
      <c r="E18" s="9">
        <f>-E16*'Fane 15. Nøgletal'!C31</f>
        <v>0</v>
      </c>
      <c r="F18" s="14" t="s">
        <v>3</v>
      </c>
      <c r="G18" s="1"/>
    </row>
    <row r="19" spans="1:7" x14ac:dyDescent="0.25">
      <c r="A19" s="1"/>
      <c r="B19" s="129" t="s">
        <v>131</v>
      </c>
      <c r="C19" s="130"/>
      <c r="D19" s="131"/>
      <c r="E19" s="12">
        <f>SUM(E16:E18)*(1+'Fane 15. Nøgletal'!C15)^3</f>
        <v>0</v>
      </c>
      <c r="F19" s="13" t="s">
        <v>3</v>
      </c>
      <c r="G19" s="1"/>
    </row>
    <row r="20" spans="1:7" x14ac:dyDescent="0.25">
      <c r="A20" s="1"/>
      <c r="B20" s="1"/>
      <c r="C20" s="1"/>
      <c r="D20" s="1"/>
      <c r="E20" s="1"/>
      <c r="F20" s="1"/>
      <c r="G20" s="1"/>
    </row>
    <row r="21" spans="1:7" ht="15" customHeight="1" x14ac:dyDescent="0.25">
      <c r="A21" s="1"/>
      <c r="B21" s="129" t="s">
        <v>157</v>
      </c>
      <c r="C21" s="130"/>
      <c r="D21" s="130"/>
      <c r="E21" s="130"/>
      <c r="F21" s="131"/>
      <c r="G21" s="1"/>
    </row>
    <row r="22" spans="1:7" x14ac:dyDescent="0.25">
      <c r="A22" s="1"/>
      <c r="B22" s="160" t="s">
        <v>225</v>
      </c>
      <c r="C22" s="161"/>
      <c r="D22" s="162"/>
      <c r="E22" s="9">
        <v>0</v>
      </c>
      <c r="F22" s="14" t="s">
        <v>3</v>
      </c>
      <c r="G22" s="1"/>
    </row>
    <row r="23" spans="1:7" x14ac:dyDescent="0.25">
      <c r="A23" s="1"/>
      <c r="B23" s="123" t="s">
        <v>10</v>
      </c>
      <c r="C23" s="124"/>
      <c r="D23" s="125"/>
      <c r="E23" s="9">
        <f>-E22*'Fane 5. Individuelt eff. krav'!G9</f>
        <v>0</v>
      </c>
      <c r="F23" s="14" t="s">
        <v>3</v>
      </c>
      <c r="G23" s="1"/>
    </row>
    <row r="24" spans="1:7" x14ac:dyDescent="0.25">
      <c r="A24" s="1"/>
      <c r="B24" s="123" t="s">
        <v>24</v>
      </c>
      <c r="C24" s="124"/>
      <c r="D24" s="125"/>
      <c r="E24" s="9">
        <f>-E22*'Fane 15. Nøgletal'!C31</f>
        <v>0</v>
      </c>
      <c r="F24" s="14" t="s">
        <v>3</v>
      </c>
      <c r="G24" s="1"/>
    </row>
    <row r="25" spans="1:7" x14ac:dyDescent="0.25">
      <c r="A25" s="1"/>
      <c r="B25" s="129" t="s">
        <v>158</v>
      </c>
      <c r="C25" s="130"/>
      <c r="D25" s="131"/>
      <c r="E25" s="12">
        <f>SUM(E22:E24)*(1+'Fane 15. Nøgletal'!C15)^4</f>
        <v>0</v>
      </c>
      <c r="F25" s="13" t="s">
        <v>3</v>
      </c>
      <c r="G25" s="1"/>
    </row>
    <row r="26" spans="1:7" x14ac:dyDescent="0.25">
      <c r="A26" s="1"/>
      <c r="B26" s="1"/>
      <c r="C26" s="1"/>
      <c r="D26" s="1"/>
      <c r="E26" s="1"/>
      <c r="F26" s="1"/>
      <c r="G26" s="1"/>
    </row>
    <row r="27" spans="1:7" ht="15" customHeight="1" x14ac:dyDescent="0.25">
      <c r="A27" s="1"/>
      <c r="B27" s="129" t="s">
        <v>214</v>
      </c>
      <c r="C27" s="130"/>
      <c r="D27" s="130"/>
      <c r="E27" s="130"/>
      <c r="F27" s="131"/>
      <c r="G27" s="1"/>
    </row>
    <row r="28" spans="1:7" ht="14.25" customHeight="1" x14ac:dyDescent="0.25">
      <c r="A28" s="1"/>
      <c r="B28" s="160" t="s">
        <v>225</v>
      </c>
      <c r="C28" s="161"/>
      <c r="D28" s="162"/>
      <c r="E28" s="9">
        <v>0</v>
      </c>
      <c r="F28" s="14" t="s">
        <v>3</v>
      </c>
      <c r="G28" s="1"/>
    </row>
    <row r="29" spans="1:7" x14ac:dyDescent="0.25">
      <c r="A29" s="1"/>
      <c r="B29" s="123" t="s">
        <v>10</v>
      </c>
      <c r="C29" s="124"/>
      <c r="D29" s="125"/>
      <c r="E29" s="9">
        <f>-E28*'Fane 5. Individuelt eff. krav'!G9</f>
        <v>0</v>
      </c>
      <c r="F29" s="14" t="s">
        <v>3</v>
      </c>
      <c r="G29" s="1"/>
    </row>
    <row r="30" spans="1:7" x14ac:dyDescent="0.25">
      <c r="A30" s="1"/>
      <c r="B30" s="123" t="s">
        <v>24</v>
      </c>
      <c r="C30" s="124"/>
      <c r="D30" s="125"/>
      <c r="E30" s="9">
        <f>-E28*'Fane 15. Nøgletal'!C31</f>
        <v>0</v>
      </c>
      <c r="F30" s="14" t="s">
        <v>3</v>
      </c>
      <c r="G30" s="1"/>
    </row>
    <row r="31" spans="1:7" x14ac:dyDescent="0.25">
      <c r="A31" s="1"/>
      <c r="B31" s="129" t="s">
        <v>215</v>
      </c>
      <c r="C31" s="130"/>
      <c r="D31" s="131"/>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mgbeYZQ0r64PBUxmG7gzg/VblNy9TZx7ykFvzSpRp/NTU8ad1TgSEuAU+k2HESmyvIBo63v4WBG3tdHHge2KQ==" saltValue="uSUTHdMybUZygUcdYZ+Vg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42578125" style="2" customWidth="1"/>
    <col min="2" max="2" width="39.85546875" style="2" customWidth="1"/>
    <col min="3" max="3" width="15.5703125" style="2" customWidth="1"/>
    <col min="4" max="4" width="3.28515625" style="2" customWidth="1"/>
    <col min="5" max="5" width="17.140625" style="2" customWidth="1"/>
    <col min="6" max="6" width="3.28515625" style="2" customWidth="1"/>
    <col min="7" max="7" width="2.71093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7" t="s">
        <v>260</v>
      </c>
      <c r="C3" s="137"/>
      <c r="D3" s="137"/>
      <c r="E3" s="137"/>
      <c r="F3" s="137"/>
      <c r="G3" s="1"/>
    </row>
    <row r="4" spans="1:7" ht="25.5" customHeight="1" x14ac:dyDescent="0.25">
      <c r="A4" s="1"/>
      <c r="B4" s="137"/>
      <c r="C4" s="137"/>
      <c r="D4" s="137"/>
      <c r="E4" s="137"/>
      <c r="F4" s="13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132</v>
      </c>
      <c r="C8" s="130"/>
      <c r="D8" s="130"/>
      <c r="E8" s="130"/>
      <c r="F8" s="131"/>
      <c r="G8" s="1"/>
    </row>
    <row r="9" spans="1:7" ht="15" customHeight="1" x14ac:dyDescent="0.25">
      <c r="A9" s="1"/>
      <c r="B9" s="31" t="s">
        <v>133</v>
      </c>
      <c r="C9" s="31" t="s">
        <v>11</v>
      </c>
      <c r="D9" s="32"/>
      <c r="E9" s="31" t="s">
        <v>31</v>
      </c>
      <c r="F9" s="32"/>
      <c r="G9" s="1"/>
    </row>
    <row r="10" spans="1:7" x14ac:dyDescent="0.25">
      <c r="A10" s="1"/>
      <c r="B10" s="24" t="s">
        <v>272</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pXDiQnfsavbNs1cRnKCFZ57HfuyrIkoDiXz3A3x4Fre7uncs8JGusQp5qynYoloF6KyZPRMEX+M8c5pnhOZFcA==" saltValue="A6Fnfv7xikyagHzUvH3Hp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7" t="s">
        <v>261</v>
      </c>
      <c r="C3" s="137"/>
      <c r="D3" s="137"/>
      <c r="E3" s="137"/>
      <c r="F3" s="137"/>
      <c r="G3" s="1"/>
    </row>
    <row r="4" spans="1:7" ht="25.5" customHeight="1" x14ac:dyDescent="0.25">
      <c r="A4" s="1"/>
      <c r="B4" s="137"/>
      <c r="C4" s="137"/>
      <c r="D4" s="137"/>
      <c r="E4" s="137"/>
      <c r="F4" s="13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93</v>
      </c>
      <c r="C9" s="130"/>
      <c r="D9" s="130"/>
      <c r="E9" s="130"/>
      <c r="F9" s="131"/>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235</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5"/>
      <c r="C15" s="165"/>
      <c r="D15" s="165"/>
      <c r="E15" s="165"/>
      <c r="F15" s="165"/>
      <c r="G15" s="1"/>
    </row>
    <row r="16" spans="1:7" x14ac:dyDescent="0.25">
      <c r="A16" s="1"/>
      <c r="B16" s="64"/>
      <c r="C16" s="64"/>
      <c r="D16" s="64"/>
      <c r="E16" s="64"/>
      <c r="F16" s="64"/>
      <c r="G16" s="1"/>
    </row>
    <row r="17" spans="1:7" x14ac:dyDescent="0.25">
      <c r="A17" s="1"/>
      <c r="B17" s="65"/>
      <c r="C17" s="68"/>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5"/>
      <c r="C21" s="165"/>
      <c r="D21" s="165"/>
      <c r="E21" s="165"/>
      <c r="F21" s="165"/>
      <c r="G21" s="1"/>
    </row>
    <row r="22" spans="1:7" x14ac:dyDescent="0.25">
      <c r="A22" s="1"/>
      <c r="B22" s="64"/>
      <c r="C22" s="64"/>
      <c r="D22" s="64"/>
      <c r="E22" s="64"/>
      <c r="F22" s="64"/>
      <c r="G22" s="1"/>
    </row>
    <row r="23" spans="1:7" x14ac:dyDescent="0.25">
      <c r="A23" s="1"/>
      <c r="B23" s="65"/>
      <c r="C23" s="68"/>
      <c r="D23" s="67"/>
      <c r="E23" s="68"/>
      <c r="F23" s="67"/>
      <c r="G23" s="1"/>
    </row>
    <row r="24" spans="1:7" x14ac:dyDescent="0.25">
      <c r="A24" s="1"/>
      <c r="B24" s="69"/>
      <c r="C24" s="70"/>
      <c r="D24" s="71"/>
      <c r="E24" s="70"/>
      <c r="F24" s="71"/>
      <c r="G24" s="1"/>
    </row>
    <row r="25" spans="1:7" x14ac:dyDescent="0.25">
      <c r="A25" s="1"/>
      <c r="B25" s="69"/>
      <c r="C25" s="70"/>
      <c r="D25" s="71"/>
      <c r="E25" s="70"/>
      <c r="F25" s="71"/>
      <c r="G25" s="1"/>
    </row>
    <row r="26" spans="1:7" x14ac:dyDescent="0.25">
      <c r="A26" s="1"/>
      <c r="B26" s="62"/>
      <c r="C26" s="62"/>
      <c r="D26" s="62"/>
      <c r="E26" s="62"/>
      <c r="F26" s="62"/>
      <c r="G26" s="1"/>
    </row>
    <row r="27" spans="1:7" x14ac:dyDescent="0.25">
      <c r="A27" s="1"/>
      <c r="B27" s="165"/>
      <c r="C27" s="165"/>
      <c r="D27" s="165"/>
      <c r="E27" s="165"/>
      <c r="F27" s="165"/>
      <c r="G27" s="1"/>
    </row>
    <row r="28" spans="1:7" x14ac:dyDescent="0.25">
      <c r="A28" s="1"/>
      <c r="B28" s="64"/>
      <c r="C28" s="64"/>
      <c r="D28" s="64"/>
      <c r="E28" s="64"/>
      <c r="F28" s="64"/>
      <c r="G28" s="1"/>
    </row>
    <row r="29" spans="1:7" x14ac:dyDescent="0.25">
      <c r="A29" s="1"/>
      <c r="B29" s="65"/>
      <c r="C29" s="68"/>
      <c r="D29" s="67"/>
      <c r="E29" s="68"/>
      <c r="F29" s="67"/>
      <c r="G29" s="1"/>
    </row>
    <row r="30" spans="1:7" x14ac:dyDescent="0.25">
      <c r="A30" s="1"/>
      <c r="B30" s="69"/>
      <c r="C30" s="70"/>
      <c r="D30" s="71"/>
      <c r="E30" s="70"/>
      <c r="F30" s="71"/>
      <c r="G30" s="1"/>
    </row>
    <row r="31" spans="1:7" x14ac:dyDescent="0.25">
      <c r="A31" s="1"/>
      <c r="B31" s="69"/>
      <c r="C31" s="70"/>
      <c r="D31" s="71"/>
      <c r="E31" s="70"/>
      <c r="F31" s="7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nTzUpqedlQozEhm5Acor7SpHaTLQ5IUeOQ9Cug1akCVap4EM3kNNeh/G9y+0WKXzd+udDyARojkgAt7A6y5S3g==" saltValue="RiBICjFlR6TloIBqcs9GX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181</v>
      </c>
      <c r="C3" s="121"/>
      <c r="D3" s="121"/>
      <c r="E3" s="1"/>
    </row>
    <row r="4" spans="1:5" ht="15" customHeight="1" x14ac:dyDescent="0.25">
      <c r="A4" s="1"/>
      <c r="B4" s="121"/>
      <c r="C4" s="121"/>
      <c r="D4" s="12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70526967.326666519</v>
      </c>
      <c r="D9" s="8" t="s">
        <v>3</v>
      </c>
      <c r="E9" s="1"/>
    </row>
    <row r="10" spans="1:5" ht="17.25" customHeight="1" x14ac:dyDescent="0.25">
      <c r="A10" s="1"/>
      <c r="B10" s="81" t="s">
        <v>39</v>
      </c>
      <c r="C10" s="7">
        <f>'Fane 11.1. Varige tillæg'!C13</f>
        <v>266873.08439999999</v>
      </c>
      <c r="D10" s="8" t="s">
        <v>3</v>
      </c>
      <c r="E10" s="1"/>
    </row>
    <row r="11" spans="1:5" ht="17.25" customHeight="1" x14ac:dyDescent="0.25">
      <c r="A11" s="1"/>
      <c r="B11" s="81" t="s">
        <v>40</v>
      </c>
      <c r="C11" s="9">
        <f>'Fane 11.1. Varige tillæg'!E13</f>
        <v>157309.71120000002</v>
      </c>
      <c r="D11" s="8" t="s">
        <v>3</v>
      </c>
      <c r="E11" s="1"/>
    </row>
    <row r="12" spans="1:5" ht="17.25" customHeight="1" x14ac:dyDescent="0.25">
      <c r="A12" s="1"/>
      <c r="B12" s="81" t="s">
        <v>27</v>
      </c>
      <c r="C12" s="9">
        <f>-'Fane 14. Bortfald'!C13</f>
        <v>0</v>
      </c>
      <c r="D12" s="8" t="s">
        <v>3</v>
      </c>
      <c r="E12" s="1"/>
    </row>
    <row r="13" spans="1:5" ht="17.25" customHeight="1" x14ac:dyDescent="0.25">
      <c r="A13" s="1"/>
      <c r="B13" s="81" t="s">
        <v>26</v>
      </c>
      <c r="C13" s="9">
        <f>-'Fane 14. Bortfald'!E13</f>
        <v>0</v>
      </c>
      <c r="D13" s="8" t="s">
        <v>3</v>
      </c>
      <c r="E13" s="1"/>
    </row>
    <row r="14" spans="1:5" ht="17.25" customHeight="1" x14ac:dyDescent="0.25">
      <c r="A14" s="1"/>
      <c r="B14" s="81" t="s">
        <v>124</v>
      </c>
      <c r="C14" s="9">
        <f>'Fane 13. Tilknyttet virksomhed'!C12</f>
        <v>0</v>
      </c>
      <c r="D14" s="8" t="s">
        <v>3</v>
      </c>
      <c r="E14" s="1"/>
    </row>
    <row r="15" spans="1:5" ht="17.25" customHeight="1" x14ac:dyDescent="0.25">
      <c r="A15" s="1"/>
      <c r="B15" s="81" t="s">
        <v>125</v>
      </c>
      <c r="C15" s="9">
        <f>'Fane 13. Tilknyttet virksomhed'!E12</f>
        <v>0</v>
      </c>
      <c r="D15" s="8" t="s">
        <v>3</v>
      </c>
      <c r="E15" s="1"/>
    </row>
    <row r="16" spans="1:5" ht="17.25" customHeight="1" x14ac:dyDescent="0.25">
      <c r="A16" s="1"/>
      <c r="B16" s="81" t="s">
        <v>19</v>
      </c>
      <c r="C16" s="45">
        <f>SUM(C9)*'Fane 15. Nøgletal'!C14+SUM(C10:C15)*'Fane 15. Nøgletal'!C15</f>
        <v>247839.89970135951</v>
      </c>
      <c r="D16" s="8" t="s">
        <v>3</v>
      </c>
      <c r="E16" s="1"/>
    </row>
    <row r="17" spans="1:5" ht="17.25" customHeight="1" x14ac:dyDescent="0.25">
      <c r="A17" s="1"/>
      <c r="B17" s="81" t="s">
        <v>10</v>
      </c>
      <c r="C17" s="45">
        <f>-SUM(C9,C10:C16)*'Fane 5. Individuelt eff. krav'!G9</f>
        <v>-975675.24901973736</v>
      </c>
      <c r="D17" s="8" t="s">
        <v>3</v>
      </c>
      <c r="E17" s="1"/>
    </row>
    <row r="18" spans="1:5" ht="17.25" customHeight="1" x14ac:dyDescent="0.25">
      <c r="A18" s="1"/>
      <c r="B18" s="81" t="s">
        <v>24</v>
      </c>
      <c r="C18" s="45">
        <f>-'Fane 4.1. Gen. krav - drift'!G45</f>
        <v>-471144.51333587989</v>
      </c>
      <c r="D18" s="8" t="s">
        <v>3</v>
      </c>
      <c r="E18" s="1"/>
    </row>
    <row r="19" spans="1:5" ht="17.25" customHeight="1" x14ac:dyDescent="0.25">
      <c r="A19" s="1"/>
      <c r="B19" s="81" t="s">
        <v>25</v>
      </c>
      <c r="C19" s="45">
        <f>-'Fane 4.2. Gen. krav - anlæg'!G43</f>
        <v>-775661.50643419649</v>
      </c>
      <c r="D19" s="8" t="s">
        <v>3</v>
      </c>
      <c r="E19" s="51"/>
    </row>
    <row r="20" spans="1:5" ht="17.25" customHeight="1" x14ac:dyDescent="0.25">
      <c r="A20" s="1"/>
      <c r="B20" s="87" t="s">
        <v>21</v>
      </c>
      <c r="C20" s="10">
        <f>SUM(C9:C19)</f>
        <v>68976508.753178045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omk.'!C15+'Fane 6. Ikke-påvirkelige omk.'!C19+'Fane 6. Ikke-påvirkelige omk.'!C27</f>
        <v>2022412.8313915201</v>
      </c>
      <c r="D22" s="11" t="s">
        <v>3</v>
      </c>
      <c r="E22" s="1"/>
    </row>
    <row r="23" spans="1:5" ht="15" customHeight="1" x14ac:dyDescent="0.25">
      <c r="A23" s="1"/>
      <c r="B23" s="33" t="s">
        <v>86</v>
      </c>
      <c r="C23" s="28"/>
      <c r="D23" s="19"/>
      <c r="E23" s="1"/>
    </row>
    <row r="24" spans="1:5" ht="15" customHeight="1" x14ac:dyDescent="0.25">
      <c r="A24" s="1"/>
      <c r="B24" s="87" t="s">
        <v>86</v>
      </c>
      <c r="C24" s="10">
        <f>'Fane 12. Periodevise driftsomk.'!E13</f>
        <v>0</v>
      </c>
      <c r="D24" s="11" t="s">
        <v>3</v>
      </c>
      <c r="E24" s="1"/>
    </row>
    <row r="25" spans="1:5" ht="15" customHeight="1" x14ac:dyDescent="0.25">
      <c r="A25" s="1"/>
      <c r="B25" s="48" t="s">
        <v>85</v>
      </c>
      <c r="C25" s="46"/>
      <c r="D25" s="47"/>
      <c r="E25" s="1"/>
    </row>
    <row r="26" spans="1:5" ht="15" customHeight="1" x14ac:dyDescent="0.25">
      <c r="A26" s="1"/>
      <c r="B26" s="81" t="s">
        <v>232</v>
      </c>
      <c r="C26" s="9">
        <f>'Fane 11.2. Engangstillæg'!C12</f>
        <v>0</v>
      </c>
      <c r="D26" s="8" t="s">
        <v>3</v>
      </c>
      <c r="E26" s="1"/>
    </row>
    <row r="27" spans="1:5" ht="15" customHeight="1" x14ac:dyDescent="0.25">
      <c r="A27" s="1"/>
      <c r="B27" s="81" t="s">
        <v>82</v>
      </c>
      <c r="C27" s="9">
        <f>'Fane 11.2. Engangstillæg'!E12</f>
        <v>0</v>
      </c>
      <c r="D27" s="8" t="s">
        <v>3</v>
      </c>
      <c r="E27" s="1"/>
    </row>
    <row r="28" spans="1:5" ht="15" customHeight="1" x14ac:dyDescent="0.25">
      <c r="A28" s="1"/>
      <c r="B28" s="81" t="s">
        <v>239</v>
      </c>
      <c r="C28" s="9">
        <f>-C26*('Fane 15. Nøgletal'!C31+'Fane 5. Individuelt eff. krav'!G9)</f>
        <v>0</v>
      </c>
      <c r="D28" s="8" t="s">
        <v>3</v>
      </c>
      <c r="E28" s="1"/>
    </row>
    <row r="29" spans="1:5" ht="15" customHeight="1" x14ac:dyDescent="0.25">
      <c r="A29" s="1"/>
      <c r="B29" s="81" t="s">
        <v>240</v>
      </c>
      <c r="C29" s="9">
        <f>-C27*('Fane 15. Nøgletal'!C26+'Fane 5. Individuelt eff. krav'!G9)</f>
        <v>0</v>
      </c>
      <c r="D29" s="8" t="s">
        <v>3</v>
      </c>
      <c r="E29" s="1"/>
    </row>
    <row r="30" spans="1:5" ht="15" customHeight="1" x14ac:dyDescent="0.25">
      <c r="A30" s="1"/>
      <c r="B30" s="93" t="s">
        <v>87</v>
      </c>
      <c r="C30" s="10">
        <f>SUM(C26:C29)</f>
        <v>0</v>
      </c>
      <c r="D30" s="11" t="s">
        <v>3</v>
      </c>
      <c r="E30" s="1"/>
    </row>
    <row r="31" spans="1:5" x14ac:dyDescent="0.25">
      <c r="A31" s="1"/>
      <c r="B31" s="33" t="s">
        <v>143</v>
      </c>
      <c r="C31" s="28"/>
      <c r="D31" s="19"/>
      <c r="E31" s="1"/>
    </row>
    <row r="32" spans="1:5" x14ac:dyDescent="0.25">
      <c r="A32" s="1"/>
      <c r="B32" s="31" t="s">
        <v>180</v>
      </c>
      <c r="C32" s="10">
        <f>'Fane 7. Kontrol af ØR2021'!E28</f>
        <v>-1934012.4859842956</v>
      </c>
      <c r="D32" s="11" t="s">
        <v>3</v>
      </c>
      <c r="E32" s="1"/>
    </row>
    <row r="33" spans="1:5" ht="15" customHeight="1" x14ac:dyDescent="0.25">
      <c r="A33" s="1"/>
      <c r="B33" s="33" t="s">
        <v>185</v>
      </c>
      <c r="C33" s="28"/>
      <c r="D33" s="19"/>
      <c r="E33" s="1"/>
    </row>
    <row r="34" spans="1:5" x14ac:dyDescent="0.25">
      <c r="A34" s="1"/>
      <c r="B34" s="31" t="s">
        <v>185</v>
      </c>
      <c r="C34" s="10">
        <f>'Fane 9. Korrektion af ØR2021'!E17</f>
        <v>0</v>
      </c>
      <c r="D34" s="11" t="s">
        <v>3</v>
      </c>
      <c r="E34" s="1"/>
    </row>
    <row r="35" spans="1:5" x14ac:dyDescent="0.25">
      <c r="A35" s="1"/>
      <c r="B35" s="30" t="s">
        <v>175</v>
      </c>
      <c r="C35" s="28"/>
      <c r="D35" s="19"/>
      <c r="E35" s="1"/>
    </row>
    <row r="36" spans="1:5" x14ac:dyDescent="0.25">
      <c r="A36" s="1"/>
      <c r="B36" s="93" t="s">
        <v>176</v>
      </c>
      <c r="C36" s="10">
        <f>'Fane 8. Skattesagen'!G12</f>
        <v>0</v>
      </c>
      <c r="D36" s="11" t="s">
        <v>3</v>
      </c>
      <c r="E36" s="1"/>
    </row>
    <row r="37" spans="1:5" x14ac:dyDescent="0.25">
      <c r="A37" s="1"/>
      <c r="B37" s="33" t="s">
        <v>90</v>
      </c>
      <c r="C37" s="60">
        <f>SUM(C34,C32,C24,C30,C22,C20,C36)</f>
        <v>69064909.098585263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UhpF+XGd8gWQlOzBrgqGEoQRDrrJGsDYtSCm/mJfUj59f/cFU23+qIXaA2n0gJKdwsUFt0JNGsKV0NMrzuJmQg==" saltValue="nHf3RHBG/KdPaBFUy6o35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7" t="s">
        <v>262</v>
      </c>
      <c r="C3" s="137"/>
      <c r="D3" s="1"/>
    </row>
    <row r="4" spans="1:4" ht="25.5" customHeight="1" x14ac:dyDescent="0.25">
      <c r="A4" s="1"/>
      <c r="B4" s="137"/>
      <c r="C4" s="13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2" t="s">
        <v>112</v>
      </c>
      <c r="C9" s="25">
        <v>1.2699999999999999E-2</v>
      </c>
      <c r="D9" s="1"/>
    </row>
    <row r="10" spans="1:4" x14ac:dyDescent="0.25">
      <c r="A10" s="1"/>
      <c r="B10" s="92" t="s">
        <v>113</v>
      </c>
      <c r="C10" s="25">
        <v>1.7500000000000002E-2</v>
      </c>
      <c r="D10" s="1"/>
    </row>
    <row r="11" spans="1:4" x14ac:dyDescent="0.25">
      <c r="A11" s="1"/>
      <c r="B11" s="92"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2" t="s">
        <v>171</v>
      </c>
      <c r="C14" s="43">
        <v>3.3E-3</v>
      </c>
      <c r="D14" s="1"/>
    </row>
    <row r="15" spans="1:4" x14ac:dyDescent="0.25">
      <c r="A15" s="1"/>
      <c r="B15" s="34" t="s">
        <v>224</v>
      </c>
      <c r="C15" s="74">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2" t="s">
        <v>114</v>
      </c>
      <c r="C20" s="22">
        <v>9.1000000000000004E-3</v>
      </c>
      <c r="D20" s="1"/>
    </row>
    <row r="21" spans="1:4" x14ac:dyDescent="0.25">
      <c r="A21" s="1"/>
      <c r="B21" s="92" t="s">
        <v>145</v>
      </c>
      <c r="C21" s="22">
        <v>1.77E-2</v>
      </c>
      <c r="D21" s="1"/>
    </row>
    <row r="22" spans="1:4" x14ac:dyDescent="0.25">
      <c r="A22" s="1"/>
      <c r="B22" s="92" t="s">
        <v>146</v>
      </c>
      <c r="C22" s="22">
        <v>8.6999999999999994E-3</v>
      </c>
      <c r="D22" s="1"/>
    </row>
    <row r="23" spans="1:4" x14ac:dyDescent="0.25">
      <c r="A23" s="1"/>
      <c r="B23" s="92" t="s">
        <v>115</v>
      </c>
      <c r="C23" s="36">
        <v>2.8400000000000002E-2</v>
      </c>
      <c r="D23" s="1"/>
    </row>
    <row r="24" spans="1:4" x14ac:dyDescent="0.25">
      <c r="A24" s="1"/>
      <c r="B24" s="92" t="s">
        <v>147</v>
      </c>
      <c r="C24" s="36">
        <v>2.75E-2</v>
      </c>
      <c r="D24" s="1"/>
    </row>
    <row r="25" spans="1:4" x14ac:dyDescent="0.25">
      <c r="A25" s="1"/>
      <c r="B25" s="92" t="s">
        <v>148</v>
      </c>
      <c r="C25" s="36">
        <v>1.4800000000000001E-2</v>
      </c>
      <c r="D25" s="1"/>
    </row>
    <row r="26" spans="1:4" x14ac:dyDescent="0.25">
      <c r="A26" s="1"/>
      <c r="B26" s="34" t="s">
        <v>216</v>
      </c>
      <c r="C26" s="75">
        <v>0</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2"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2"/>
      <c r="B50" s="52"/>
      <c r="C50" s="52"/>
      <c r="D50" s="52"/>
    </row>
    <row r="51" spans="1:4" x14ac:dyDescent="0.25">
      <c r="A51" s="52"/>
      <c r="B51" s="52"/>
      <c r="C51" s="52"/>
      <c r="D51" s="52"/>
    </row>
    <row r="52" spans="1:4" x14ac:dyDescent="0.25">
      <c r="A52" s="52"/>
      <c r="B52" s="52"/>
      <c r="C52" s="52"/>
      <c r="D52" s="52"/>
    </row>
    <row r="53" spans="1:4" x14ac:dyDescent="0.25">
      <c r="A53" s="52"/>
      <c r="B53" s="52"/>
      <c r="C53" s="52"/>
      <c r="D53" s="52"/>
    </row>
  </sheetData>
  <sheetProtection algorithmName="SHA-512" hashValue="+D6G9YXGxTIuLnn1Qme7iYjSpFd08CK4wDNCdaSScqj7vjNR7PP4W+u4fGmILBc/xhz2bnHxhXnD3vDpEpWF0g==" saltValue="h8o8Z+Bosnnb8OMp9cW9x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186</v>
      </c>
      <c r="C3" s="121"/>
      <c r="D3" s="121"/>
      <c r="E3" s="1"/>
    </row>
    <row r="4" spans="1:5" ht="15" customHeight="1" x14ac:dyDescent="0.25">
      <c r="A4" s="1"/>
      <c r="B4" s="121"/>
      <c r="C4" s="121"/>
      <c r="D4" s="121"/>
      <c r="E4" s="1"/>
    </row>
    <row r="5" spans="1:5" x14ac:dyDescent="0.25">
      <c r="A5" s="1"/>
      <c r="B5" s="122" t="s">
        <v>22</v>
      </c>
      <c r="C5" s="122"/>
      <c r="D5" s="12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68976508.753178045</v>
      </c>
      <c r="D9" s="8" t="s">
        <v>3</v>
      </c>
      <c r="E9" s="1"/>
    </row>
    <row r="10" spans="1:5" ht="15" customHeight="1" x14ac:dyDescent="0.25">
      <c r="A10" s="1"/>
      <c r="B10" s="26" t="s">
        <v>19</v>
      </c>
      <c r="C10" s="7">
        <f>SUM(C9:C9)*'Fane 15. Nøgletal'!C15</f>
        <v>2455563.7116131382</v>
      </c>
      <c r="D10" s="8" t="s">
        <v>3</v>
      </c>
      <c r="E10" s="1"/>
    </row>
    <row r="11" spans="1:5" ht="15" customHeight="1" x14ac:dyDescent="0.25">
      <c r="A11" s="1"/>
      <c r="B11" s="26" t="s">
        <v>10</v>
      </c>
      <c r="C11" s="9">
        <f>-SUM(C9:C10)*'Fane 5. Individuelt eff. krav'!G9</f>
        <v>-978869.293912419</v>
      </c>
      <c r="D11" s="8" t="s">
        <v>3</v>
      </c>
      <c r="E11" s="1"/>
    </row>
    <row r="12" spans="1:5" ht="15" customHeight="1" x14ac:dyDescent="0.25">
      <c r="A12" s="1"/>
      <c r="B12" s="26" t="s">
        <v>24</v>
      </c>
      <c r="C12" s="9">
        <f>-'Fane 4.1. Gen. krav - drift'!G53</f>
        <v>-478158.91285042453</v>
      </c>
      <c r="D12" s="8" t="s">
        <v>3</v>
      </c>
      <c r="E12" s="1"/>
    </row>
    <row r="13" spans="1:5" ht="15" customHeight="1" x14ac:dyDescent="0.25">
      <c r="A13" s="1"/>
      <c r="B13" s="26" t="s">
        <v>25</v>
      </c>
      <c r="C13" s="9">
        <f>-'Fane 4.2. Gen. krav - anlæg'!G54</f>
        <v>0</v>
      </c>
      <c r="D13" s="8" t="s">
        <v>3</v>
      </c>
      <c r="E13" s="1"/>
    </row>
    <row r="14" spans="1:5" ht="15" customHeight="1" x14ac:dyDescent="0.25">
      <c r="A14" s="1"/>
      <c r="B14" s="27" t="s">
        <v>21</v>
      </c>
      <c r="C14" s="10">
        <f>SUM(C9:C13)</f>
        <v>69975044.258028328</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Nøgletal'!C15)+'Fane 6. Ikke-påvirkelige omk.'!C20+'Fane 6. Ikke-påvirkelige omk.'!C28</f>
        <v>2094410.7281890584</v>
      </c>
      <c r="D16" s="11" t="s">
        <v>3</v>
      </c>
      <c r="E16" s="1"/>
    </row>
    <row r="17" spans="1:5" ht="15" customHeight="1" x14ac:dyDescent="0.25">
      <c r="A17" s="1"/>
      <c r="B17" s="33" t="s">
        <v>86</v>
      </c>
      <c r="C17" s="28"/>
      <c r="D17" s="19"/>
      <c r="E17" s="1"/>
    </row>
    <row r="18" spans="1:5" ht="15" customHeight="1" x14ac:dyDescent="0.25">
      <c r="A18" s="1"/>
      <c r="B18" s="96" t="s">
        <v>86</v>
      </c>
      <c r="C18" s="10">
        <f>'Fane 12. Periodevise driftsomk.'!E19</f>
        <v>0</v>
      </c>
      <c r="D18" s="11" t="s">
        <v>3</v>
      </c>
      <c r="E18" s="1"/>
    </row>
    <row r="19" spans="1:5" x14ac:dyDescent="0.25">
      <c r="A19" s="1"/>
      <c r="B19" s="33" t="s">
        <v>143</v>
      </c>
      <c r="C19" s="28"/>
      <c r="D19" s="19"/>
      <c r="E19" s="1"/>
    </row>
    <row r="20" spans="1:5" ht="15" customHeight="1" x14ac:dyDescent="0.25">
      <c r="A20" s="1"/>
      <c r="B20" s="31" t="s">
        <v>180</v>
      </c>
      <c r="C20" s="10">
        <f>'Fane 7. Kontrol af ØR2021'!E34</f>
        <v>-571945.9879777655</v>
      </c>
      <c r="D20" s="11" t="s">
        <v>3</v>
      </c>
      <c r="E20" s="1"/>
    </row>
    <row r="21" spans="1:5" x14ac:dyDescent="0.25">
      <c r="A21" s="1"/>
      <c r="B21" s="30" t="s">
        <v>175</v>
      </c>
      <c r="C21" s="28"/>
      <c r="D21" s="19"/>
      <c r="E21" s="1"/>
    </row>
    <row r="22" spans="1:5" x14ac:dyDescent="0.25">
      <c r="A22" s="1"/>
      <c r="B22" s="98" t="s">
        <v>176</v>
      </c>
      <c r="C22" s="10">
        <f>'Fane 8. Skattesagen'!G13</f>
        <v>0</v>
      </c>
      <c r="D22" s="11" t="s">
        <v>3</v>
      </c>
      <c r="E22" s="1"/>
    </row>
    <row r="23" spans="1:5" x14ac:dyDescent="0.25">
      <c r="A23" s="1"/>
      <c r="B23" s="33" t="s">
        <v>128</v>
      </c>
      <c r="C23" s="12">
        <f>SUM(C14,C16,C18,C20,C22)</f>
        <v>71497508.998239607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QJfoVdbUbllhYb9s6thmHNcTvO+bfm4ahDzwUxzDyvEDfQHY3oZVhYpzE4iBI61E1MBOAldAAwDNAr9KEMMh8Q==" saltValue="nYX1kNcbnOaue7IkCy3kH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187</v>
      </c>
      <c r="C3" s="121"/>
      <c r="D3" s="121"/>
      <c r="E3" s="1"/>
    </row>
    <row r="4" spans="1:5" ht="15" customHeight="1" x14ac:dyDescent="0.25">
      <c r="A4" s="1"/>
      <c r="B4" s="121"/>
      <c r="C4" s="121"/>
      <c r="D4" s="121"/>
      <c r="E4" s="1"/>
    </row>
    <row r="5" spans="1:5" x14ac:dyDescent="0.25">
      <c r="A5" s="1"/>
      <c r="B5" s="122" t="s">
        <v>22</v>
      </c>
      <c r="C5" s="122"/>
      <c r="D5" s="122"/>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234</v>
      </c>
      <c r="C9" s="7">
        <f>'Fane 2.2. Økonomisk ramme 2024'!C14</f>
        <v>69975044.258028328</v>
      </c>
      <c r="D9" s="8" t="s">
        <v>3</v>
      </c>
      <c r="E9" s="1"/>
    </row>
    <row r="10" spans="1:5" ht="15" customHeight="1" x14ac:dyDescent="0.25">
      <c r="A10" s="1"/>
      <c r="B10" s="26" t="s">
        <v>19</v>
      </c>
      <c r="C10" s="7">
        <f>SUM(C9:C9)*'Fane 15. Nøgletal'!C15</f>
        <v>2491111.5755858086</v>
      </c>
      <c r="D10" s="8" t="s">
        <v>3</v>
      </c>
      <c r="E10" s="1"/>
    </row>
    <row r="11" spans="1:5" ht="15" customHeight="1" x14ac:dyDescent="0.25">
      <c r="A11" s="1"/>
      <c r="B11" s="26" t="s">
        <v>10</v>
      </c>
      <c r="C11" s="9">
        <f>-SUM(C9:C10)*'Fane 5. Individuelt eff. krav'!G9</f>
        <v>-993039.85374862188</v>
      </c>
      <c r="D11" s="8" t="s">
        <v>3</v>
      </c>
      <c r="E11" s="1"/>
    </row>
    <row r="12" spans="1:5" ht="15" customHeight="1" x14ac:dyDescent="0.25">
      <c r="A12" s="1"/>
      <c r="B12" s="26" t="s">
        <v>24</v>
      </c>
      <c r="C12" s="9">
        <f>-'Fane 4.1. Gen. krav - drift'!G58</f>
        <v>-485277.74274494167</v>
      </c>
      <c r="D12" s="8" t="s">
        <v>3</v>
      </c>
      <c r="E12" s="1"/>
    </row>
    <row r="13" spans="1:5" ht="15" customHeight="1" x14ac:dyDescent="0.25">
      <c r="A13" s="1"/>
      <c r="B13" s="26" t="s">
        <v>25</v>
      </c>
      <c r="C13" s="9">
        <f>-'Fane 4.2. Gen. krav - anlæg'!G59</f>
        <v>0</v>
      </c>
      <c r="D13" s="8" t="s">
        <v>3</v>
      </c>
      <c r="E13" s="1"/>
    </row>
    <row r="14" spans="1:5" x14ac:dyDescent="0.25">
      <c r="A14" s="1"/>
      <c r="B14" s="27" t="s">
        <v>21</v>
      </c>
      <c r="C14" s="10">
        <f>SUM(C9:C13)</f>
        <v>70987838.237120584</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Nøgletal'!C15)^2+'Fane 6. Ikke-påvirkelige omk.'!C21+'Fane 6. Ikke-påvirkelige omk.'!C29</f>
        <v>2168971.750112589</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driftsomk.'!E25</f>
        <v>0</v>
      </c>
      <c r="D18" s="11" t="s">
        <v>3</v>
      </c>
      <c r="E18" s="1"/>
    </row>
    <row r="19" spans="1:5" ht="15" customHeight="1" x14ac:dyDescent="0.25">
      <c r="A19" s="1"/>
      <c r="B19" s="33" t="s">
        <v>143</v>
      </c>
      <c r="C19" s="28"/>
      <c r="D19" s="19"/>
      <c r="E19" s="1"/>
    </row>
    <row r="20" spans="1:5" ht="15" customHeight="1" x14ac:dyDescent="0.25">
      <c r="A20" s="1"/>
      <c r="B20" s="31" t="s">
        <v>180</v>
      </c>
      <c r="C20" s="10">
        <f>'Fane 7. Kontrol af ØR2021'!E34</f>
        <v>-571945.9879777655</v>
      </c>
      <c r="D20" s="11" t="s">
        <v>3</v>
      </c>
      <c r="E20" s="1"/>
    </row>
    <row r="21" spans="1:5" x14ac:dyDescent="0.25">
      <c r="A21" s="1"/>
      <c r="B21" s="30" t="s">
        <v>175</v>
      </c>
      <c r="C21" s="28"/>
      <c r="D21" s="19"/>
      <c r="E21" s="1"/>
    </row>
    <row r="22" spans="1:5" x14ac:dyDescent="0.25">
      <c r="A22" s="1"/>
      <c r="B22" s="93" t="s">
        <v>176</v>
      </c>
      <c r="C22" s="10">
        <f>'Fane 8. Skattesagen'!G14</f>
        <v>0</v>
      </c>
      <c r="D22" s="11" t="s">
        <v>3</v>
      </c>
      <c r="E22" s="1"/>
    </row>
    <row r="23" spans="1:5" x14ac:dyDescent="0.25">
      <c r="A23" s="1"/>
      <c r="B23" s="33" t="s">
        <v>149</v>
      </c>
      <c r="C23" s="12">
        <f>SUM(C14,C16,C18,C20,C22)</f>
        <v>72584863.999255419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yRhW6lUqu+BnKKPlOZb7UGB097F4BKSQD76faElKDDMmmTHdw3nflX9cWSCylR8h8JQsB50fSlQjHsoumjqIxQ==" saltValue="S0TW7iaPvnzmzHwd+jBxb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188</v>
      </c>
      <c r="C3" s="121"/>
      <c r="D3" s="121"/>
      <c r="E3" s="1"/>
    </row>
    <row r="4" spans="1:5" ht="15" customHeight="1" x14ac:dyDescent="0.25">
      <c r="A4" s="1"/>
      <c r="B4" s="121"/>
      <c r="C4" s="121"/>
      <c r="D4" s="121"/>
      <c r="E4" s="1"/>
    </row>
    <row r="5" spans="1:5" x14ac:dyDescent="0.25">
      <c r="A5" s="1"/>
      <c r="B5" s="122" t="s">
        <v>22</v>
      </c>
      <c r="C5" s="122"/>
      <c r="D5" s="122"/>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189</v>
      </c>
      <c r="C9" s="7">
        <f>'Fane 2.3. Økonomisk ramme 2025'!C14</f>
        <v>70987838.237120584</v>
      </c>
      <c r="D9" s="8" t="s">
        <v>3</v>
      </c>
      <c r="E9" s="1"/>
    </row>
    <row r="10" spans="1:5" ht="15" customHeight="1" x14ac:dyDescent="0.25">
      <c r="A10" s="1"/>
      <c r="B10" s="26" t="s">
        <v>19</v>
      </c>
      <c r="C10" s="7">
        <f>SUM(C9:C9)*'Fane 15. Nøgletal'!C15</f>
        <v>2527167.0412414926</v>
      </c>
      <c r="D10" s="8" t="s">
        <v>3</v>
      </c>
      <c r="E10" s="1"/>
    </row>
    <row r="11" spans="1:5" ht="15" customHeight="1" x14ac:dyDescent="0.25">
      <c r="A11" s="1"/>
      <c r="B11" s="26" t="s">
        <v>10</v>
      </c>
      <c r="C11" s="9">
        <f>-SUM(C9:C10)*'Fane 5. Individuelt eff. krav'!G9</f>
        <v>-1007412.760483295</v>
      </c>
      <c r="D11" s="8" t="s">
        <v>3</v>
      </c>
      <c r="E11" s="1"/>
    </row>
    <row r="12" spans="1:5" ht="15" customHeight="1" x14ac:dyDescent="0.25">
      <c r="A12" s="1"/>
      <c r="B12" s="26" t="s">
        <v>24</v>
      </c>
      <c r="C12" s="9">
        <f>-'Fane 4.1. Gen. krav - drift'!G63</f>
        <v>-492502.55777892837</v>
      </c>
      <c r="D12" s="8" t="s">
        <v>3</v>
      </c>
      <c r="E12" s="1"/>
    </row>
    <row r="13" spans="1:5" ht="15" customHeight="1" x14ac:dyDescent="0.25">
      <c r="A13" s="1"/>
      <c r="B13" s="26" t="s">
        <v>25</v>
      </c>
      <c r="C13" s="9">
        <f>-'Fane 4.2. Gen. krav - anlæg'!G64</f>
        <v>0</v>
      </c>
      <c r="D13" s="8" t="s">
        <v>3</v>
      </c>
      <c r="E13" s="1"/>
    </row>
    <row r="14" spans="1:5" ht="14.25" customHeight="1" x14ac:dyDescent="0.25">
      <c r="A14" s="1"/>
      <c r="B14" s="27" t="s">
        <v>21</v>
      </c>
      <c r="C14" s="10">
        <f>SUM(C9:C13)</f>
        <v>72015089.960099861</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Nøgletal'!C15)^3+'Fane 6. Ikke-påvirkelige omk.'!C22+'Fane 6. Ikke-påvirkelige omk.'!C30</f>
        <v>2246187.1444165972</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driftsomk.'!E31</f>
        <v>0</v>
      </c>
      <c r="D18" s="11" t="s">
        <v>3</v>
      </c>
      <c r="E18" s="1"/>
    </row>
    <row r="19" spans="1:5" ht="15" customHeight="1" x14ac:dyDescent="0.25">
      <c r="A19" s="1"/>
      <c r="B19" s="33" t="s">
        <v>143</v>
      </c>
      <c r="C19" s="28"/>
      <c r="D19" s="19"/>
      <c r="E19" s="1"/>
    </row>
    <row r="20" spans="1:5" ht="15" customHeight="1" x14ac:dyDescent="0.25">
      <c r="A20" s="1"/>
      <c r="B20" s="31" t="s">
        <v>180</v>
      </c>
      <c r="C20" s="10">
        <f>'Fane 7. Kontrol af ØR2021'!E34</f>
        <v>-571945.9879777655</v>
      </c>
      <c r="D20" s="11" t="s">
        <v>3</v>
      </c>
      <c r="E20" s="1"/>
    </row>
    <row r="21" spans="1:5" x14ac:dyDescent="0.25">
      <c r="A21" s="1"/>
      <c r="B21" s="30" t="s">
        <v>175</v>
      </c>
      <c r="C21" s="28"/>
      <c r="D21" s="19"/>
      <c r="E21" s="1"/>
    </row>
    <row r="22" spans="1:5" x14ac:dyDescent="0.25">
      <c r="A22" s="1"/>
      <c r="B22" s="93" t="s">
        <v>176</v>
      </c>
      <c r="C22" s="10">
        <f>'Fane 8. Skattesagen'!G15</f>
        <v>0</v>
      </c>
      <c r="D22" s="11" t="s">
        <v>3</v>
      </c>
      <c r="E22" s="1"/>
    </row>
    <row r="23" spans="1:5" x14ac:dyDescent="0.25">
      <c r="A23" s="1"/>
      <c r="B23" s="33" t="s">
        <v>190</v>
      </c>
      <c r="C23" s="12">
        <f>SUM(C14,C16,C18,C20,C22)</f>
        <v>73689331.116538703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fb8EwsF6MJjUG5Vg19cSVJDAUEF7il7y3cJ8U9R0bnCwvBUhDCkkiAoub5Vb9JVV7F+re4qlWCHEBRNz8s5tRw==" saltValue="SpsPTa42siJ0/bdA/NFOK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7" t="s">
        <v>191</v>
      </c>
      <c r="C3" s="137"/>
      <c r="D3" s="137"/>
      <c r="E3" s="137"/>
      <c r="F3" s="137"/>
      <c r="G3" s="1"/>
    </row>
    <row r="4" spans="1:7" ht="29.25" customHeight="1" x14ac:dyDescent="0.25">
      <c r="A4" s="1"/>
      <c r="B4" s="137"/>
      <c r="C4" s="137"/>
      <c r="D4" s="137"/>
      <c r="E4" s="137"/>
      <c r="F4" s="13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218</v>
      </c>
      <c r="C8" s="28"/>
      <c r="D8" s="28"/>
      <c r="E8" s="28"/>
      <c r="F8" s="19"/>
      <c r="G8" s="1"/>
    </row>
    <row r="9" spans="1:7" ht="15" customHeight="1" x14ac:dyDescent="0.25">
      <c r="A9" s="1"/>
      <c r="B9" s="132" t="s">
        <v>192</v>
      </c>
      <c r="C9" s="133"/>
      <c r="D9" s="134"/>
      <c r="E9" s="7">
        <v>72058640.20223318</v>
      </c>
      <c r="F9" s="8" t="s">
        <v>3</v>
      </c>
      <c r="G9" s="1"/>
    </row>
    <row r="10" spans="1:7" ht="15" customHeight="1" x14ac:dyDescent="0.25">
      <c r="A10" s="1"/>
      <c r="B10" s="123" t="s">
        <v>39</v>
      </c>
      <c r="C10" s="124"/>
      <c r="D10" s="125"/>
      <c r="E10" s="7">
        <v>265102.96230000001</v>
      </c>
      <c r="F10" s="8" t="s">
        <v>3</v>
      </c>
      <c r="G10" s="1"/>
    </row>
    <row r="11" spans="1:7" ht="15" customHeight="1" x14ac:dyDescent="0.25">
      <c r="A11" s="1"/>
      <c r="B11" s="123" t="s">
        <v>40</v>
      </c>
      <c r="C11" s="124"/>
      <c r="D11" s="125"/>
      <c r="E11" s="9">
        <v>219488.93109999999</v>
      </c>
      <c r="F11" s="8" t="s">
        <v>3</v>
      </c>
      <c r="G11" s="1"/>
    </row>
    <row r="12" spans="1:7" ht="15" customHeight="1" x14ac:dyDescent="0.25">
      <c r="A12" s="1"/>
      <c r="B12" s="123" t="s">
        <v>27</v>
      </c>
      <c r="C12" s="124"/>
      <c r="D12" s="125"/>
      <c r="E12" s="9">
        <v>0</v>
      </c>
      <c r="F12" s="8" t="s">
        <v>3</v>
      </c>
      <c r="G12" s="1"/>
    </row>
    <row r="13" spans="1:7" ht="15" customHeight="1" x14ac:dyDescent="0.25">
      <c r="A13" s="1"/>
      <c r="B13" s="132" t="s">
        <v>26</v>
      </c>
      <c r="C13" s="133"/>
      <c r="D13" s="134"/>
      <c r="E13" s="9">
        <v>0</v>
      </c>
      <c r="F13" s="8" t="s">
        <v>3</v>
      </c>
      <c r="G13" s="1"/>
    </row>
    <row r="14" spans="1:7" ht="15" customHeight="1" x14ac:dyDescent="0.25">
      <c r="A14" s="1"/>
      <c r="B14" s="132" t="s">
        <v>29</v>
      </c>
      <c r="C14" s="133"/>
      <c r="D14" s="134"/>
      <c r="E14" s="9">
        <v>0</v>
      </c>
      <c r="F14" s="8" t="s">
        <v>3</v>
      </c>
      <c r="G14" s="1"/>
    </row>
    <row r="15" spans="1:7" ht="15" customHeight="1" x14ac:dyDescent="0.25">
      <c r="A15" s="1"/>
      <c r="B15" s="132" t="s">
        <v>28</v>
      </c>
      <c r="C15" s="133"/>
      <c r="D15" s="134"/>
      <c r="E15" s="9">
        <v>0</v>
      </c>
      <c r="F15" s="8" t="s">
        <v>3</v>
      </c>
      <c r="G15" s="1"/>
    </row>
    <row r="16" spans="1:7" ht="15" customHeight="1" x14ac:dyDescent="0.25">
      <c r="A16" s="1"/>
      <c r="B16" s="132" t="s">
        <v>19</v>
      </c>
      <c r="C16" s="133"/>
      <c r="D16" s="134"/>
      <c r="E16" s="9">
        <f>SUM(E9:E15)*'Fane 15. Nøgletal'!C14</f>
        <v>239392.66591558949</v>
      </c>
      <c r="F16" s="8" t="s">
        <v>3</v>
      </c>
      <c r="G16" s="1"/>
    </row>
    <row r="17" spans="1:7" ht="15" customHeight="1" x14ac:dyDescent="0.25">
      <c r="A17" s="1"/>
      <c r="B17" s="132" t="s">
        <v>10</v>
      </c>
      <c r="C17" s="133"/>
      <c r="D17" s="134"/>
      <c r="E17" s="9">
        <v>-997376.58521032333</v>
      </c>
      <c r="F17" s="8" t="s">
        <v>3</v>
      </c>
      <c r="G17" s="1"/>
    </row>
    <row r="18" spans="1:7" ht="15" customHeight="1" x14ac:dyDescent="0.25">
      <c r="A18" s="1"/>
      <c r="B18" s="132" t="s">
        <v>24</v>
      </c>
      <c r="C18" s="133"/>
      <c r="D18" s="134"/>
      <c r="E18" s="9">
        <f>-'Fane 4.1. Gen. krav - drift'!G39</f>
        <v>-473556.6894673974</v>
      </c>
      <c r="F18" s="8" t="s">
        <v>3</v>
      </c>
      <c r="G18" s="1"/>
    </row>
    <row r="19" spans="1:7" ht="15" customHeight="1" x14ac:dyDescent="0.25">
      <c r="A19" s="1"/>
      <c r="B19" s="132" t="s">
        <v>25</v>
      </c>
      <c r="C19" s="133"/>
      <c r="D19" s="134"/>
      <c r="E19" s="9">
        <f>-'Fane 4.2. Gen. krav - anlæg'!G37</f>
        <v>-784724.16020453291</v>
      </c>
      <c r="F19" s="8" t="s">
        <v>3</v>
      </c>
      <c r="G19" s="1"/>
    </row>
    <row r="20" spans="1:7" ht="15" customHeight="1" x14ac:dyDescent="0.25">
      <c r="A20" s="1"/>
      <c r="B20" s="57" t="s">
        <v>21</v>
      </c>
      <c r="C20" s="97"/>
      <c r="D20" s="99"/>
      <c r="E20" s="54">
        <f>SUM(E9:E19)</f>
        <v>70526967.326666519</v>
      </c>
      <c r="F20" s="56" t="s">
        <v>3</v>
      </c>
      <c r="G20" s="1"/>
    </row>
    <row r="21" spans="1:7" ht="15" customHeight="1" x14ac:dyDescent="0.25">
      <c r="A21" s="1"/>
      <c r="B21" s="33" t="s">
        <v>12</v>
      </c>
      <c r="C21" s="28"/>
      <c r="D21" s="28"/>
      <c r="E21" s="28"/>
      <c r="F21" s="19"/>
      <c r="G21" s="1"/>
    </row>
    <row r="22" spans="1:7" ht="15" customHeight="1" x14ac:dyDescent="0.25">
      <c r="A22" s="1"/>
      <c r="B22" s="126" t="s">
        <v>12</v>
      </c>
      <c r="C22" s="127"/>
      <c r="D22" s="128"/>
      <c r="E22" s="10">
        <v>1793986.9612124502</v>
      </c>
      <c r="F22" s="11" t="s">
        <v>3</v>
      </c>
      <c r="G22" s="1"/>
    </row>
    <row r="23" spans="1:7" ht="15" customHeight="1" x14ac:dyDescent="0.25">
      <c r="A23" s="1"/>
      <c r="B23" s="129" t="s">
        <v>86</v>
      </c>
      <c r="C23" s="130"/>
      <c r="D23" s="131"/>
      <c r="E23" s="28"/>
      <c r="F23" s="19"/>
      <c r="G23" s="1"/>
    </row>
    <row r="24" spans="1:7" ht="15" customHeight="1" x14ac:dyDescent="0.25">
      <c r="A24" s="1"/>
      <c r="B24" s="96" t="s">
        <v>86</v>
      </c>
      <c r="C24" s="38"/>
      <c r="D24" s="39"/>
      <c r="E24" s="10">
        <v>0</v>
      </c>
      <c r="F24" s="11" t="s">
        <v>3</v>
      </c>
      <c r="G24" s="1"/>
    </row>
    <row r="25" spans="1:7" x14ac:dyDescent="0.25">
      <c r="A25" s="1"/>
      <c r="B25" s="33" t="s">
        <v>85</v>
      </c>
      <c r="C25" s="28"/>
      <c r="D25" s="28"/>
      <c r="E25" s="28"/>
      <c r="F25" s="19"/>
      <c r="G25" s="1"/>
    </row>
    <row r="26" spans="1:7" ht="15" customHeight="1" x14ac:dyDescent="0.25">
      <c r="A26" s="1"/>
      <c r="B26" s="123" t="s">
        <v>81</v>
      </c>
      <c r="C26" s="124"/>
      <c r="D26" s="125"/>
      <c r="E26" s="9">
        <v>0</v>
      </c>
      <c r="F26" s="8" t="s">
        <v>3</v>
      </c>
      <c r="G26" s="1"/>
    </row>
    <row r="27" spans="1:7" ht="15" customHeight="1" x14ac:dyDescent="0.25">
      <c r="A27" s="1"/>
      <c r="B27" s="123" t="s">
        <v>82</v>
      </c>
      <c r="C27" s="124"/>
      <c r="D27" s="124"/>
      <c r="E27" s="9">
        <v>0</v>
      </c>
      <c r="F27" s="8" t="s">
        <v>3</v>
      </c>
      <c r="G27" s="1"/>
    </row>
    <row r="28" spans="1:7" ht="15" customHeight="1" x14ac:dyDescent="0.25">
      <c r="A28" s="1"/>
      <c r="B28" s="135" t="s">
        <v>87</v>
      </c>
      <c r="C28" s="136"/>
      <c r="D28" s="136"/>
      <c r="E28" s="40">
        <v>0</v>
      </c>
      <c r="F28" s="11" t="s">
        <v>3</v>
      </c>
      <c r="G28" s="1"/>
    </row>
    <row r="29" spans="1:7" ht="15" customHeight="1" x14ac:dyDescent="0.25">
      <c r="A29" s="1"/>
      <c r="B29" s="33" t="s">
        <v>143</v>
      </c>
      <c r="C29" s="33"/>
      <c r="D29" s="33"/>
      <c r="E29" s="28"/>
      <c r="F29" s="19"/>
      <c r="G29" s="1"/>
    </row>
    <row r="30" spans="1:7" ht="15" customHeight="1" x14ac:dyDescent="0.25">
      <c r="A30" s="1"/>
      <c r="B30" s="126" t="s">
        <v>142</v>
      </c>
      <c r="C30" s="127"/>
      <c r="D30" s="127"/>
      <c r="E30" s="40">
        <v>-1934012.4859842956</v>
      </c>
      <c r="F30" s="11" t="s">
        <v>3</v>
      </c>
      <c r="G30" s="1"/>
    </row>
    <row r="31" spans="1:7" x14ac:dyDescent="0.25">
      <c r="A31" s="1"/>
      <c r="B31" s="33" t="s">
        <v>123</v>
      </c>
      <c r="C31" s="28"/>
      <c r="D31" s="28"/>
      <c r="E31" s="28"/>
      <c r="F31" s="19"/>
      <c r="G31" s="1"/>
    </row>
    <row r="32" spans="1:7" ht="15.4" customHeight="1" x14ac:dyDescent="0.25">
      <c r="A32" s="1"/>
      <c r="B32" s="126" t="s">
        <v>123</v>
      </c>
      <c r="C32" s="127"/>
      <c r="D32" s="128"/>
      <c r="E32" s="10">
        <v>0</v>
      </c>
      <c r="F32" s="11" t="s">
        <v>3</v>
      </c>
      <c r="G32" s="1"/>
    </row>
    <row r="33" spans="1:7" ht="15.4" customHeight="1" x14ac:dyDescent="0.25">
      <c r="A33" s="1"/>
      <c r="B33" s="129" t="s">
        <v>175</v>
      </c>
      <c r="C33" s="130"/>
      <c r="D33" s="130"/>
      <c r="E33" s="130"/>
      <c r="F33" s="131"/>
      <c r="G33" s="1"/>
    </row>
    <row r="34" spans="1:7" ht="15.4" customHeight="1" x14ac:dyDescent="0.25">
      <c r="A34" s="1"/>
      <c r="B34" s="98" t="s">
        <v>176</v>
      </c>
      <c r="C34" s="10"/>
      <c r="D34" s="11"/>
      <c r="E34" s="10">
        <f>'Fane 8. Skattesagen'!G11</f>
        <v>0</v>
      </c>
      <c r="F34" s="11" t="s">
        <v>3</v>
      </c>
      <c r="G34" s="1"/>
    </row>
    <row r="35" spans="1:7" x14ac:dyDescent="0.25">
      <c r="A35" s="1"/>
      <c r="B35" s="58" t="s">
        <v>219</v>
      </c>
      <c r="C35" s="59"/>
      <c r="D35" s="19"/>
      <c r="E35" s="46">
        <f>SUM(E32,E30,E28,E24,E22,E20,E34)</f>
        <v>70386941.80189468</v>
      </c>
      <c r="F35" s="55" t="s">
        <v>3</v>
      </c>
      <c r="G35" s="1"/>
    </row>
    <row r="36" spans="1:7" ht="27" customHeight="1" x14ac:dyDescent="0.25">
      <c r="A36" s="1"/>
      <c r="B36" s="132" t="s">
        <v>223</v>
      </c>
      <c r="C36" s="133"/>
      <c r="D36" s="133"/>
      <c r="E36" s="133"/>
      <c r="F36" s="13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2"/>
      <c r="B49" s="52"/>
      <c r="C49" s="52"/>
      <c r="D49" s="52"/>
      <c r="E49" s="52"/>
      <c r="F49" s="52"/>
      <c r="G49" s="52"/>
    </row>
    <row r="50" spans="1:7" x14ac:dyDescent="0.25">
      <c r="A50" s="52"/>
      <c r="B50" s="52"/>
      <c r="C50" s="52"/>
      <c r="D50" s="52"/>
      <c r="E50" s="52"/>
      <c r="F50" s="52"/>
      <c r="G50" s="52"/>
    </row>
    <row r="51" spans="1:7" x14ac:dyDescent="0.25">
      <c r="A51" s="52"/>
      <c r="B51" s="52"/>
      <c r="C51" s="52"/>
      <c r="D51" s="52"/>
      <c r="E51" s="52"/>
      <c r="F51" s="52"/>
      <c r="G51" s="52"/>
    </row>
    <row r="52" spans="1:7" x14ac:dyDescent="0.25">
      <c r="A52" s="52"/>
      <c r="B52" s="52"/>
      <c r="C52" s="52"/>
      <c r="D52" s="52"/>
      <c r="E52" s="52"/>
      <c r="F52" s="52"/>
      <c r="G52" s="52"/>
    </row>
  </sheetData>
  <sheetProtection algorithmName="SHA-512" hashValue="bIfCc5Sq2CriiIJjgfwDmIwgbX4LT6iYOyUPKOx52lP8K/vGKbOJ3lCAaD+irp7aG1DGAugBA+1lYAcYKaq0TA==" saltValue="M2VkLcqXVjBWud1dQSKjN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5703125" style="2" customWidth="1"/>
    <col min="2" max="5" width="9.140625" style="2"/>
    <col min="6" max="6" width="25.7109375" style="2" customWidth="1"/>
    <col min="7" max="7" width="16.28515625" style="2" customWidth="1"/>
    <col min="8" max="8" width="3.42578125" style="2" customWidth="1"/>
    <col min="9" max="9" width="2.570312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37" t="s">
        <v>109</v>
      </c>
      <c r="C2" s="137"/>
      <c r="D2" s="137"/>
      <c r="E2" s="137"/>
      <c r="F2" s="137"/>
      <c r="G2" s="137"/>
      <c r="H2" s="137"/>
      <c r="I2" s="1"/>
    </row>
    <row r="3" spans="1:9" ht="28.5" customHeight="1" x14ac:dyDescent="0.25">
      <c r="A3" s="1"/>
      <c r="B3" s="137"/>
      <c r="C3" s="137"/>
      <c r="D3" s="137"/>
      <c r="E3" s="137"/>
      <c r="F3" s="137"/>
      <c r="G3" s="137"/>
      <c r="H3" s="137"/>
      <c r="I3" s="1"/>
    </row>
    <row r="4" spans="1:9" x14ac:dyDescent="0.25">
      <c r="A4" s="1"/>
      <c r="B4" s="129" t="s">
        <v>52</v>
      </c>
      <c r="C4" s="130"/>
      <c r="D4" s="130"/>
      <c r="E4" s="130"/>
      <c r="F4" s="130"/>
      <c r="G4" s="130"/>
      <c r="H4" s="131"/>
      <c r="I4" s="1"/>
    </row>
    <row r="5" spans="1:9" x14ac:dyDescent="0.25">
      <c r="A5" s="1"/>
      <c r="B5" s="138" t="s">
        <v>41</v>
      </c>
      <c r="C5" s="139"/>
      <c r="D5" s="139"/>
      <c r="E5" s="139"/>
      <c r="F5" s="140"/>
      <c r="G5" s="23">
        <v>23511839.358604852</v>
      </c>
      <c r="H5" s="14" t="s">
        <v>3</v>
      </c>
      <c r="I5" s="1"/>
    </row>
    <row r="6" spans="1:9" x14ac:dyDescent="0.25">
      <c r="A6" s="1"/>
      <c r="B6" s="132" t="s">
        <v>120</v>
      </c>
      <c r="C6" s="133"/>
      <c r="D6" s="133"/>
      <c r="E6" s="133"/>
      <c r="F6" s="134"/>
      <c r="G6" s="9">
        <v>0</v>
      </c>
      <c r="H6" s="14" t="s">
        <v>3</v>
      </c>
      <c r="I6" s="1"/>
    </row>
    <row r="7" spans="1:9" x14ac:dyDescent="0.25">
      <c r="A7" s="1"/>
      <c r="B7" s="138" t="s">
        <v>42</v>
      </c>
      <c r="C7" s="139"/>
      <c r="D7" s="139"/>
      <c r="E7" s="139"/>
      <c r="F7" s="140"/>
      <c r="G7" s="23">
        <f>SUM(G5:G6)*'Fane 15. Nøgletal'!C31</f>
        <v>470236.78717209707</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9" t="s">
        <v>53</v>
      </c>
      <c r="C10" s="130"/>
      <c r="D10" s="130"/>
      <c r="E10" s="130"/>
      <c r="F10" s="130"/>
      <c r="G10" s="130"/>
      <c r="H10" s="131"/>
      <c r="I10" s="1"/>
    </row>
    <row r="11" spans="1:9" x14ac:dyDescent="0.25">
      <c r="A11" s="1"/>
      <c r="B11" s="138" t="s">
        <v>43</v>
      </c>
      <c r="C11" s="139"/>
      <c r="D11" s="139"/>
      <c r="E11" s="139"/>
      <c r="F11" s="140"/>
      <c r="G11" s="23">
        <f>(G5-G7)*(1+'Fane 15. Nøgletal'!C10)</f>
        <v>23444830.616432831</v>
      </c>
      <c r="H11" s="14" t="s">
        <v>3</v>
      </c>
      <c r="I11" s="1"/>
    </row>
    <row r="12" spans="1:9" ht="15" customHeight="1" x14ac:dyDescent="0.25">
      <c r="A12" s="1"/>
      <c r="B12" s="138" t="s">
        <v>121</v>
      </c>
      <c r="C12" s="139"/>
      <c r="D12" s="139"/>
      <c r="E12" s="139"/>
      <c r="F12" s="140"/>
      <c r="G12" s="9">
        <v>-18738.228616252003</v>
      </c>
      <c r="H12" s="14" t="s">
        <v>3</v>
      </c>
      <c r="I12" s="1"/>
    </row>
    <row r="13" spans="1:9" x14ac:dyDescent="0.25">
      <c r="A13" s="1"/>
      <c r="B13" s="132" t="s">
        <v>118</v>
      </c>
      <c r="C13" s="133"/>
      <c r="D13" s="133"/>
      <c r="E13" s="133"/>
      <c r="F13" s="134"/>
      <c r="G13" s="9">
        <v>0</v>
      </c>
      <c r="H13" s="14" t="s">
        <v>3</v>
      </c>
      <c r="I13" s="1"/>
    </row>
    <row r="14" spans="1:9" x14ac:dyDescent="0.25">
      <c r="A14" s="1"/>
      <c r="B14" s="141" t="s">
        <v>44</v>
      </c>
      <c r="C14" s="142"/>
      <c r="D14" s="142"/>
      <c r="E14" s="142"/>
      <c r="F14" s="143"/>
      <c r="G14" s="9">
        <v>0</v>
      </c>
      <c r="H14" s="14" t="s">
        <v>3</v>
      </c>
      <c r="I14" s="1"/>
    </row>
    <row r="15" spans="1:9" x14ac:dyDescent="0.25">
      <c r="A15" s="1"/>
      <c r="B15" s="138" t="s">
        <v>45</v>
      </c>
      <c r="C15" s="139"/>
      <c r="D15" s="139"/>
      <c r="E15" s="139"/>
      <c r="F15" s="140"/>
      <c r="G15" s="23">
        <f>SUM(G11:G14)*'Fane 15. Nøgletal'!C31</f>
        <v>468521.84775633155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9" t="s">
        <v>54</v>
      </c>
      <c r="C18" s="130"/>
      <c r="D18" s="130"/>
      <c r="E18" s="130"/>
      <c r="F18" s="130"/>
      <c r="G18" s="130"/>
      <c r="H18" s="131"/>
      <c r="I18" s="1"/>
    </row>
    <row r="19" spans="1:9" x14ac:dyDescent="0.25">
      <c r="A19" s="1"/>
      <c r="B19" s="138" t="s">
        <v>46</v>
      </c>
      <c r="C19" s="139"/>
      <c r="D19" s="139"/>
      <c r="E19" s="139"/>
      <c r="F19" s="140"/>
      <c r="G19" s="23">
        <f>(SUM(G11:G12,G14)-(G15))*(1+'Fane 15. Nøgletal'!C10)</f>
        <v>23359328.024511304</v>
      </c>
      <c r="H19" s="14" t="s">
        <v>3</v>
      </c>
      <c r="I19" s="1"/>
    </row>
    <row r="20" spans="1:9" x14ac:dyDescent="0.25">
      <c r="A20" s="1"/>
      <c r="B20" s="141" t="s">
        <v>47</v>
      </c>
      <c r="C20" s="142"/>
      <c r="D20" s="142"/>
      <c r="E20" s="142"/>
      <c r="F20" s="143"/>
      <c r="G20" s="9">
        <v>0</v>
      </c>
      <c r="H20" s="14" t="s">
        <v>3</v>
      </c>
      <c r="I20" s="1"/>
    </row>
    <row r="21" spans="1:9" x14ac:dyDescent="0.25">
      <c r="A21" s="1"/>
      <c r="B21" s="138" t="s">
        <v>48</v>
      </c>
      <c r="C21" s="139"/>
      <c r="D21" s="139"/>
      <c r="E21" s="139"/>
      <c r="F21" s="140"/>
      <c r="G21" s="23">
        <f>SUM(G19:G20)*'Fane 15. Nøgletal'!C31</f>
        <v>467186.56049022608</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9" t="s">
        <v>55</v>
      </c>
      <c r="C24" s="130"/>
      <c r="D24" s="130"/>
      <c r="E24" s="130"/>
      <c r="F24" s="130"/>
      <c r="G24" s="130"/>
      <c r="H24" s="131"/>
      <c r="I24" s="1"/>
    </row>
    <row r="25" spans="1:9" x14ac:dyDescent="0.25">
      <c r="A25" s="1"/>
      <c r="B25" s="138" t="s">
        <v>49</v>
      </c>
      <c r="C25" s="139"/>
      <c r="D25" s="139"/>
      <c r="E25" s="139"/>
      <c r="F25" s="140"/>
      <c r="G25" s="23">
        <f>(G19+G20-G21)*(1+'Fane 15. Nøgletal'!C12)</f>
        <v>23343116.650862295</v>
      </c>
      <c r="H25" s="14" t="s">
        <v>3</v>
      </c>
      <c r="I25" s="1"/>
    </row>
    <row r="26" spans="1:9" x14ac:dyDescent="0.25">
      <c r="A26" s="1"/>
      <c r="B26" s="141" t="s">
        <v>50</v>
      </c>
      <c r="C26" s="142"/>
      <c r="D26" s="142"/>
      <c r="E26" s="142"/>
      <c r="F26" s="143"/>
      <c r="G26" s="9">
        <v>430810.20038925001</v>
      </c>
      <c r="H26" s="14" t="s">
        <v>3</v>
      </c>
      <c r="I26" s="1"/>
    </row>
    <row r="27" spans="1:9" x14ac:dyDescent="0.25">
      <c r="A27" s="1"/>
      <c r="B27" s="138" t="s">
        <v>51</v>
      </c>
      <c r="C27" s="139"/>
      <c r="D27" s="139"/>
      <c r="E27" s="139"/>
      <c r="F27" s="140"/>
      <c r="G27" s="23">
        <f>(G25+G26)*'Fane 15. Nøgletal'!C31</f>
        <v>475478.53702503094</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9" t="s">
        <v>58</v>
      </c>
      <c r="C30" s="130"/>
      <c r="D30" s="130"/>
      <c r="E30" s="130"/>
      <c r="F30" s="130"/>
      <c r="G30" s="130"/>
      <c r="H30" s="131"/>
      <c r="I30" s="1"/>
    </row>
    <row r="31" spans="1:9" x14ac:dyDescent="0.25">
      <c r="A31" s="1"/>
      <c r="B31" s="138" t="s">
        <v>59</v>
      </c>
      <c r="C31" s="139"/>
      <c r="D31" s="139"/>
      <c r="E31" s="139"/>
      <c r="F31" s="140"/>
      <c r="G31" s="23">
        <f>(G25+G26-G27)*(1+'Fane 15. Nøgletal'!C12)</f>
        <v>23757427.746016778</v>
      </c>
      <c r="H31" s="14" t="s">
        <v>3</v>
      </c>
      <c r="I31" s="1"/>
    </row>
    <row r="32" spans="1:9" x14ac:dyDescent="0.25">
      <c r="A32" s="1"/>
      <c r="B32" s="138" t="s">
        <v>137</v>
      </c>
      <c r="C32" s="139"/>
      <c r="D32" s="139"/>
      <c r="E32" s="139"/>
      <c r="F32" s="140"/>
      <c r="G32" s="23">
        <v>53645.377262399998</v>
      </c>
      <c r="H32" s="14" t="s">
        <v>3</v>
      </c>
      <c r="I32" s="1"/>
    </row>
    <row r="33" spans="1:9" x14ac:dyDescent="0.25">
      <c r="A33" s="1"/>
      <c r="B33" s="138" t="s">
        <v>60</v>
      </c>
      <c r="C33" s="139"/>
      <c r="D33" s="139"/>
      <c r="E33" s="139"/>
      <c r="F33" s="140"/>
      <c r="G33" s="23">
        <f>(G31+G32)*'Fane 15. Nøgletal'!C31</f>
        <v>476221.46246558352</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9" t="s">
        <v>160</v>
      </c>
      <c r="C36" s="130"/>
      <c r="D36" s="130"/>
      <c r="E36" s="130"/>
      <c r="F36" s="130"/>
      <c r="G36" s="130"/>
      <c r="H36" s="131"/>
      <c r="I36" s="1"/>
    </row>
    <row r="37" spans="1:9" x14ac:dyDescent="0.25">
      <c r="A37" s="1"/>
      <c r="B37" s="138" t="s">
        <v>79</v>
      </c>
      <c r="C37" s="139"/>
      <c r="D37" s="139"/>
      <c r="E37" s="139"/>
      <c r="F37" s="140"/>
      <c r="G37" s="23">
        <f>(G31+G32-G33)*(1+'Fane 15. Nøgletal'!C14)</f>
        <v>23411856.671294279</v>
      </c>
      <c r="H37" s="14" t="s">
        <v>3</v>
      </c>
      <c r="I37" s="1"/>
    </row>
    <row r="38" spans="1:9" x14ac:dyDescent="0.25">
      <c r="A38" s="1"/>
      <c r="B38" s="138" t="s">
        <v>164</v>
      </c>
      <c r="C38" s="139"/>
      <c r="D38" s="139"/>
      <c r="E38" s="139"/>
      <c r="F38" s="140"/>
      <c r="G38" s="23">
        <v>265977.80207559001</v>
      </c>
      <c r="H38" s="14" t="s">
        <v>3</v>
      </c>
      <c r="I38" s="1"/>
    </row>
    <row r="39" spans="1:9" x14ac:dyDescent="0.25">
      <c r="A39" s="1"/>
      <c r="B39" s="138" t="s">
        <v>162</v>
      </c>
      <c r="C39" s="139"/>
      <c r="D39" s="139"/>
      <c r="E39" s="139"/>
      <c r="F39" s="140"/>
      <c r="G39" s="23">
        <f>(G37+G38)*'Fane 15. Nøgletal'!C31</f>
        <v>473556.6894673974</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9" t="s">
        <v>161</v>
      </c>
      <c r="C42" s="130"/>
      <c r="D42" s="130"/>
      <c r="E42" s="130"/>
      <c r="F42" s="130"/>
      <c r="G42" s="130"/>
      <c r="H42" s="131"/>
      <c r="I42" s="1"/>
    </row>
    <row r="43" spans="1:9" x14ac:dyDescent="0.25">
      <c r="A43" s="1"/>
      <c r="B43" s="138" t="s">
        <v>229</v>
      </c>
      <c r="C43" s="139"/>
      <c r="D43" s="139"/>
      <c r="E43" s="139"/>
      <c r="F43" s="140"/>
      <c r="G43" s="23">
        <f>(G37+G38-G39)*(1+'Fane 15. Nøgletal'!C14)</f>
        <v>23280851.900589354</v>
      </c>
      <c r="H43" s="14" t="s">
        <v>3</v>
      </c>
      <c r="I43" s="1"/>
    </row>
    <row r="44" spans="1:9" x14ac:dyDescent="0.25">
      <c r="A44" s="1"/>
      <c r="B44" s="144" t="s">
        <v>231</v>
      </c>
      <c r="C44" s="145"/>
      <c r="D44" s="145"/>
      <c r="E44" s="145"/>
      <c r="F44" s="146"/>
      <c r="G44" s="49">
        <f>('Fane 2.1. Økonomisk ramme 2023'!C10+'Fane 2.1. Økonomisk ramme 2023'!C12+'Fane 2.1. Økonomisk ramme 2023'!C14)*(1+'Fane 15. Nøgletal'!C15)</f>
        <v>276373.76620464004</v>
      </c>
      <c r="H44" s="14" t="s">
        <v>3</v>
      </c>
      <c r="I44" s="1"/>
    </row>
    <row r="45" spans="1:9" x14ac:dyDescent="0.25">
      <c r="A45" s="1"/>
      <c r="B45" s="138" t="s">
        <v>163</v>
      </c>
      <c r="C45" s="139"/>
      <c r="D45" s="139"/>
      <c r="E45" s="139"/>
      <c r="F45" s="140"/>
      <c r="G45" s="23">
        <f>SUM(G43:G44)*'Fane 15. Nøgletal'!C31</f>
        <v>471144.51333587989</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50"/>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9" t="s">
        <v>242</v>
      </c>
      <c r="C51" s="130"/>
      <c r="D51" s="130"/>
      <c r="E51" s="130"/>
      <c r="F51" s="130"/>
      <c r="G51" s="130"/>
      <c r="H51" s="131"/>
      <c r="I51" s="1"/>
    </row>
    <row r="52" spans="1:9" x14ac:dyDescent="0.25">
      <c r="A52" s="1"/>
      <c r="B52" s="138" t="s">
        <v>228</v>
      </c>
      <c r="C52" s="139"/>
      <c r="D52" s="139"/>
      <c r="E52" s="139"/>
      <c r="F52" s="140"/>
      <c r="G52" s="23">
        <f>(G43+G44-G45)*(1+'Fane 15. Nøgletal'!C15)</f>
        <v>23907945.642521225</v>
      </c>
      <c r="H52" s="14" t="s">
        <v>3</v>
      </c>
      <c r="I52" s="1"/>
    </row>
    <row r="53" spans="1:9" x14ac:dyDescent="0.25">
      <c r="A53" s="1"/>
      <c r="B53" s="138" t="s">
        <v>138</v>
      </c>
      <c r="C53" s="139"/>
      <c r="D53" s="139"/>
      <c r="E53" s="139"/>
      <c r="F53" s="140"/>
      <c r="G53" s="23">
        <f>(G52)*'Fane 15. Nøgletal'!C31</f>
        <v>478158.91285042453</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9" t="s">
        <v>150</v>
      </c>
      <c r="C56" s="130"/>
      <c r="D56" s="130"/>
      <c r="E56" s="130"/>
      <c r="F56" s="130"/>
      <c r="G56" s="130"/>
      <c r="H56" s="131"/>
      <c r="I56" s="1"/>
    </row>
    <row r="57" spans="1:9" x14ac:dyDescent="0.25">
      <c r="A57" s="1"/>
      <c r="B57" s="89" t="s">
        <v>151</v>
      </c>
      <c r="C57" s="90"/>
      <c r="D57" s="90"/>
      <c r="E57" s="90"/>
      <c r="F57" s="91"/>
      <c r="G57" s="23">
        <f>(G52-G53)*(1+'Fane 15. Nøgletal'!C15)</f>
        <v>24263887.137247082</v>
      </c>
      <c r="H57" s="14" t="s">
        <v>3</v>
      </c>
      <c r="I57" s="1"/>
    </row>
    <row r="58" spans="1:9" x14ac:dyDescent="0.25">
      <c r="A58" s="1"/>
      <c r="B58" s="89" t="s">
        <v>152</v>
      </c>
      <c r="C58" s="90"/>
      <c r="D58" s="90"/>
      <c r="E58" s="90"/>
      <c r="F58" s="91"/>
      <c r="G58" s="23">
        <f>(G57)*'Fane 15. Nøgletal'!C31</f>
        <v>485277.74274494167</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9" t="s">
        <v>193</v>
      </c>
      <c r="C61" s="130"/>
      <c r="D61" s="130"/>
      <c r="E61" s="130"/>
      <c r="F61" s="130"/>
      <c r="G61" s="130"/>
      <c r="H61" s="131"/>
      <c r="I61" s="1"/>
    </row>
    <row r="62" spans="1:9" x14ac:dyDescent="0.25">
      <c r="A62" s="1"/>
      <c r="B62" s="89" t="s">
        <v>194</v>
      </c>
      <c r="C62" s="90"/>
      <c r="D62" s="90"/>
      <c r="E62" s="90"/>
      <c r="F62" s="91"/>
      <c r="G62" s="23">
        <f>(G57-G58)*(1+'Fane 15. Nøgletal'!C15)</f>
        <v>24625127.888946418</v>
      </c>
      <c r="H62" s="14" t="s">
        <v>3</v>
      </c>
      <c r="I62" s="1"/>
    </row>
    <row r="63" spans="1:9" x14ac:dyDescent="0.25">
      <c r="A63" s="1"/>
      <c r="B63" s="89" t="s">
        <v>195</v>
      </c>
      <c r="C63" s="90"/>
      <c r="D63" s="90"/>
      <c r="E63" s="90"/>
      <c r="F63" s="91"/>
      <c r="G63" s="23">
        <f>(G62)*'Fane 15. Nøgletal'!C31</f>
        <v>492502.55777892837</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3"/>
    </row>
  </sheetData>
  <sheetProtection algorithmName="SHA-512" hashValue="T11aMiGAJzRa5UUpWjELGFzyQWThIsFHTHGupwoGQqTmwOmgXsuVgFsEocvjMTE9WrbnXKMqUygY2/lPtvxrRw==" saltValue="tBZpGfIS+kjlxzWZ9i9Bl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5703125" style="2" customWidth="1"/>
    <col min="2" max="5" width="9.140625" style="2"/>
    <col min="6" max="6" width="27.7109375" style="2" customWidth="1"/>
    <col min="7" max="7" width="14.140625" style="2" customWidth="1"/>
    <col min="8" max="8" width="3.28515625" style="2" customWidth="1"/>
    <col min="9" max="9" width="2.5703125" style="2" customWidth="1"/>
    <col min="10" max="16384" width="9.140625" style="2"/>
  </cols>
  <sheetData>
    <row r="1" spans="1:9" ht="14.25" customHeight="1" x14ac:dyDescent="0.25">
      <c r="A1" s="1" t="s">
        <v>287</v>
      </c>
      <c r="B1" s="147" t="s">
        <v>110</v>
      </c>
      <c r="C1" s="147"/>
      <c r="D1" s="147"/>
      <c r="E1" s="147"/>
      <c r="F1" s="147"/>
      <c r="G1" s="147"/>
      <c r="H1" s="147"/>
      <c r="I1" s="1"/>
    </row>
    <row r="2" spans="1:9" ht="15" customHeight="1" x14ac:dyDescent="0.25">
      <c r="A2" s="1"/>
      <c r="B2" s="147"/>
      <c r="C2" s="147"/>
      <c r="D2" s="147"/>
      <c r="E2" s="147"/>
      <c r="F2" s="147"/>
      <c r="G2" s="147"/>
      <c r="H2" s="147"/>
      <c r="I2" s="1"/>
    </row>
    <row r="3" spans="1:9" ht="15" customHeight="1" x14ac:dyDescent="0.25">
      <c r="A3" s="1"/>
      <c r="B3" s="148"/>
      <c r="C3" s="148"/>
      <c r="D3" s="148"/>
      <c r="E3" s="148"/>
      <c r="F3" s="148"/>
      <c r="G3" s="148"/>
      <c r="H3" s="148"/>
      <c r="I3" s="1"/>
    </row>
    <row r="4" spans="1:9" x14ac:dyDescent="0.25">
      <c r="A4" s="1"/>
      <c r="B4" s="129" t="s">
        <v>56</v>
      </c>
      <c r="C4" s="130"/>
      <c r="D4" s="130"/>
      <c r="E4" s="130"/>
      <c r="F4" s="130"/>
      <c r="G4" s="130"/>
      <c r="H4" s="131"/>
      <c r="I4" s="1"/>
    </row>
    <row r="5" spans="1:9" x14ac:dyDescent="0.25">
      <c r="A5" s="1"/>
      <c r="B5" s="138" t="s">
        <v>61</v>
      </c>
      <c r="C5" s="139"/>
      <c r="D5" s="139"/>
      <c r="E5" s="139"/>
      <c r="F5" s="140"/>
      <c r="G5" s="23">
        <v>51404008.674181432</v>
      </c>
      <c r="H5" s="14" t="s">
        <v>3</v>
      </c>
      <c r="I5" s="1"/>
    </row>
    <row r="6" spans="1:9" x14ac:dyDescent="0.25">
      <c r="A6" s="1"/>
      <c r="B6" s="138" t="s">
        <v>57</v>
      </c>
      <c r="C6" s="139"/>
      <c r="D6" s="139"/>
      <c r="E6" s="139"/>
      <c r="F6" s="140"/>
      <c r="G6" s="23">
        <f>G5*'Fane 15. Nøgletal'!C20</f>
        <v>467776.47893505107</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9" t="s">
        <v>62</v>
      </c>
      <c r="C9" s="130"/>
      <c r="D9" s="130"/>
      <c r="E9" s="130"/>
      <c r="F9" s="130"/>
      <c r="G9" s="130"/>
      <c r="H9" s="131"/>
      <c r="I9" s="1"/>
    </row>
    <row r="10" spans="1:9" x14ac:dyDescent="0.25">
      <c r="A10" s="1"/>
      <c r="B10" s="138" t="s">
        <v>63</v>
      </c>
      <c r="C10" s="139"/>
      <c r="D10" s="139"/>
      <c r="E10" s="139"/>
      <c r="F10" s="140"/>
      <c r="G10" s="23">
        <f>(G5-G6)*(1+'Fane 15. Nøgletal'!C10)</f>
        <v>51827616.2586632</v>
      </c>
      <c r="H10" s="14" t="s">
        <v>3</v>
      </c>
      <c r="I10" s="1"/>
    </row>
    <row r="11" spans="1:9" x14ac:dyDescent="0.25">
      <c r="A11" s="1"/>
      <c r="B11" s="138" t="s">
        <v>122</v>
      </c>
      <c r="C11" s="139"/>
      <c r="D11" s="139"/>
      <c r="E11" s="139"/>
      <c r="F11" s="140"/>
      <c r="G11" s="73">
        <v>-304585.3431039562</v>
      </c>
      <c r="H11" s="14" t="s">
        <v>3</v>
      </c>
      <c r="I11" s="1"/>
    </row>
    <row r="12" spans="1:9" x14ac:dyDescent="0.25">
      <c r="A12" s="1"/>
      <c r="B12" s="141" t="s">
        <v>64</v>
      </c>
      <c r="C12" s="142"/>
      <c r="D12" s="142"/>
      <c r="E12" s="142"/>
      <c r="F12" s="143"/>
      <c r="G12" s="9">
        <v>0</v>
      </c>
      <c r="H12" s="14" t="s">
        <v>3</v>
      </c>
      <c r="I12" s="1"/>
    </row>
    <row r="13" spans="1:9" x14ac:dyDescent="0.25">
      <c r="A13" s="1"/>
      <c r="B13" s="138" t="s">
        <v>65</v>
      </c>
      <c r="C13" s="139"/>
      <c r="D13" s="139"/>
      <c r="E13" s="139"/>
      <c r="F13" s="140"/>
      <c r="G13" s="23">
        <f>SUM(G10:G12)*'Fane 15. Nøgletal'!C21</f>
        <v>911957.64720539865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9" t="s">
        <v>66</v>
      </c>
      <c r="C16" s="130"/>
      <c r="D16" s="130"/>
      <c r="E16" s="130"/>
      <c r="F16" s="130"/>
      <c r="G16" s="130"/>
      <c r="H16" s="131"/>
      <c r="I16" s="1"/>
    </row>
    <row r="17" spans="1:9" x14ac:dyDescent="0.25">
      <c r="A17" s="1"/>
      <c r="B17" s="138" t="s">
        <v>67</v>
      </c>
      <c r="C17" s="139"/>
      <c r="D17" s="139"/>
      <c r="E17" s="139"/>
      <c r="F17" s="140"/>
      <c r="G17" s="23">
        <f>(SUM(G10:G12)-G13)*(1+'Fane 15. Nøgletal'!C10)</f>
        <v>51496767.050550044</v>
      </c>
      <c r="H17" s="14" t="s">
        <v>3</v>
      </c>
      <c r="I17" s="1"/>
    </row>
    <row r="18" spans="1:9" x14ac:dyDescent="0.25">
      <c r="A18" s="1"/>
      <c r="B18" s="141" t="s">
        <v>68</v>
      </c>
      <c r="C18" s="142"/>
      <c r="D18" s="142"/>
      <c r="E18" s="142"/>
      <c r="F18" s="143"/>
      <c r="G18" s="23">
        <v>87586.017081389975</v>
      </c>
      <c r="H18" s="14" t="s">
        <v>3</v>
      </c>
      <c r="I18" s="1"/>
    </row>
    <row r="19" spans="1:9" x14ac:dyDescent="0.25">
      <c r="A19" s="1"/>
      <c r="B19" s="138" t="s">
        <v>69</v>
      </c>
      <c r="C19" s="139"/>
      <c r="D19" s="139"/>
      <c r="E19" s="139"/>
      <c r="F19" s="140"/>
      <c r="G19" s="23">
        <f>G17*'Fane 15. Nøgletal'!C21+G18*'Fane 15. Nøgletal'!C22</f>
        <v>912254.77514334396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9" t="s">
        <v>70</v>
      </c>
      <c r="C22" s="130"/>
      <c r="D22" s="130"/>
      <c r="E22" s="130"/>
      <c r="F22" s="130"/>
      <c r="G22" s="130"/>
      <c r="H22" s="131"/>
      <c r="I22" s="1"/>
    </row>
    <row r="23" spans="1:9" x14ac:dyDescent="0.25">
      <c r="A23" s="1"/>
      <c r="B23" s="138" t="s">
        <v>71</v>
      </c>
      <c r="C23" s="139"/>
      <c r="D23" s="139"/>
      <c r="E23" s="139"/>
      <c r="F23" s="140"/>
      <c r="G23" s="23">
        <f>(G17+G18-G19)*(1+'Fane 15. Nøgletal'!C12)</f>
        <v>51670338.628850102</v>
      </c>
      <c r="H23" s="14" t="s">
        <v>3</v>
      </c>
      <c r="I23" s="1"/>
    </row>
    <row r="24" spans="1:9" x14ac:dyDescent="0.25">
      <c r="A24" s="1"/>
      <c r="B24" s="141" t="s">
        <v>72</v>
      </c>
      <c r="C24" s="142"/>
      <c r="D24" s="142"/>
      <c r="E24" s="142"/>
      <c r="F24" s="143"/>
      <c r="G24" s="23">
        <v>1431293.7321697611</v>
      </c>
      <c r="H24" s="14" t="s">
        <v>3</v>
      </c>
      <c r="I24" s="1"/>
    </row>
    <row r="25" spans="1:9" x14ac:dyDescent="0.25">
      <c r="A25" s="1"/>
      <c r="B25" s="138" t="s">
        <v>73</v>
      </c>
      <c r="C25" s="139"/>
      <c r="D25" s="139"/>
      <c r="E25" s="139"/>
      <c r="F25" s="140"/>
      <c r="G25" s="23">
        <f>(G23+G24)*'Fane 15. Nøgletal'!C23</f>
        <v>1508086.3590529643</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9" t="s">
        <v>74</v>
      </c>
      <c r="C28" s="130"/>
      <c r="D28" s="130"/>
      <c r="E28" s="130"/>
      <c r="F28" s="130"/>
      <c r="G28" s="130"/>
      <c r="H28" s="131"/>
      <c r="I28" s="1"/>
    </row>
    <row r="29" spans="1:9" x14ac:dyDescent="0.25">
      <c r="A29" s="1"/>
      <c r="B29" s="138" t="s">
        <v>75</v>
      </c>
      <c r="C29" s="139"/>
      <c r="D29" s="139"/>
      <c r="E29" s="139"/>
      <c r="F29" s="140"/>
      <c r="G29" s="23">
        <f>(G23+G24-G25)*(1+'Fane 15. Nøgletal'!C12)</f>
        <v>52609938.858205654</v>
      </c>
      <c r="H29" s="14" t="s">
        <v>3</v>
      </c>
      <c r="I29" s="1"/>
    </row>
    <row r="30" spans="1:9" x14ac:dyDescent="0.25">
      <c r="A30" s="1"/>
      <c r="B30" s="138" t="s">
        <v>139</v>
      </c>
      <c r="C30" s="139"/>
      <c r="D30" s="139"/>
      <c r="E30" s="139"/>
      <c r="F30" s="140"/>
      <c r="G30" s="23">
        <v>1554961.8726633599</v>
      </c>
      <c r="H30" s="14" t="s">
        <v>3</v>
      </c>
      <c r="I30" s="1"/>
    </row>
    <row r="31" spans="1:9" x14ac:dyDescent="0.25">
      <c r="A31" s="1"/>
      <c r="B31" s="138" t="s">
        <v>76</v>
      </c>
      <c r="C31" s="139"/>
      <c r="D31" s="139"/>
      <c r="E31" s="139"/>
      <c r="F31" s="140"/>
      <c r="G31" s="23">
        <f>G29*'Fane 15. Nøgletal'!C23+G30*'Fane 15. Nøgletal'!C24</f>
        <v>1536883.715071283</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9" t="s">
        <v>165</v>
      </c>
      <c r="C34" s="130"/>
      <c r="D34" s="130"/>
      <c r="E34" s="130"/>
      <c r="F34" s="130"/>
      <c r="G34" s="130"/>
      <c r="H34" s="131"/>
      <c r="I34" s="1"/>
    </row>
    <row r="35" spans="1:9" x14ac:dyDescent="0.25">
      <c r="A35" s="1"/>
      <c r="B35" s="138" t="s">
        <v>78</v>
      </c>
      <c r="C35" s="139"/>
      <c r="D35" s="139"/>
      <c r="E35" s="139"/>
      <c r="F35" s="140"/>
      <c r="G35" s="23">
        <f>(G29+G30-G31)*(1+'Fane 15. Nøgletal'!C14)</f>
        <v>52801689.47194986</v>
      </c>
      <c r="H35" s="14" t="s">
        <v>3</v>
      </c>
      <c r="I35" s="1"/>
    </row>
    <row r="36" spans="1:9" x14ac:dyDescent="0.25">
      <c r="A36" s="1"/>
      <c r="B36" s="138" t="s">
        <v>167</v>
      </c>
      <c r="C36" s="139"/>
      <c r="D36" s="139"/>
      <c r="E36" s="139"/>
      <c r="F36" s="140"/>
      <c r="G36" s="23">
        <v>220213.24457263004</v>
      </c>
      <c r="H36" s="14" t="s">
        <v>3</v>
      </c>
      <c r="I36" s="1"/>
    </row>
    <row r="37" spans="1:9" x14ac:dyDescent="0.25">
      <c r="A37" s="1"/>
      <c r="B37" s="138" t="s">
        <v>166</v>
      </c>
      <c r="C37" s="139"/>
      <c r="D37" s="139"/>
      <c r="E37" s="139"/>
      <c r="F37" s="140"/>
      <c r="G37" s="23">
        <f>(G35+G36)*'Fane 15. Nøgletal'!C25</f>
        <v>784724.16020453291</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9" t="s">
        <v>222</v>
      </c>
      <c r="C40" s="130"/>
      <c r="D40" s="130"/>
      <c r="E40" s="130"/>
      <c r="F40" s="130"/>
      <c r="G40" s="130"/>
      <c r="H40" s="131"/>
      <c r="I40" s="1"/>
    </row>
    <row r="41" spans="1:9" x14ac:dyDescent="0.25">
      <c r="A41" s="1"/>
      <c r="B41" s="138" t="s">
        <v>77</v>
      </c>
      <c r="C41" s="139"/>
      <c r="D41" s="139"/>
      <c r="E41" s="139"/>
      <c r="F41" s="140"/>
      <c r="G41" s="23">
        <f>(G35+G36-G37)*(1+'Fane 15. Nøgletal'!C14)</f>
        <v>52409561.245553814</v>
      </c>
      <c r="H41" s="14" t="s">
        <v>3</v>
      </c>
      <c r="I41" s="1"/>
    </row>
    <row r="42" spans="1:9" x14ac:dyDescent="0.25">
      <c r="A42" s="1"/>
      <c r="B42" s="44" t="s">
        <v>230</v>
      </c>
      <c r="C42" s="90"/>
      <c r="D42" s="90"/>
      <c r="E42" s="90"/>
      <c r="F42" s="91"/>
      <c r="G42" s="49">
        <f>('Fane 2.1. Økonomisk ramme 2023'!C11+'Fane 2.1. Økonomisk ramme 2023'!C13+'Fane 2.1. Økonomisk ramme 2023'!C15)*(1+'Fane 15. Nøgletal'!C15)</f>
        <v>162909.93691872002</v>
      </c>
      <c r="H42" s="14" t="s">
        <v>3</v>
      </c>
      <c r="I42" s="1"/>
    </row>
    <row r="43" spans="1:9" x14ac:dyDescent="0.25">
      <c r="A43" s="1"/>
      <c r="B43" s="138" t="s">
        <v>168</v>
      </c>
      <c r="C43" s="139"/>
      <c r="D43" s="139"/>
      <c r="E43" s="139"/>
      <c r="F43" s="140"/>
      <c r="G43" s="23">
        <f>(G41)*'Fane 15. Nøgletal'!C25+G42*'Fane 15. Nøgletal'!C26</f>
        <v>775661.50643419649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9" t="s">
        <v>243</v>
      </c>
      <c r="C52" s="130"/>
      <c r="D52" s="130"/>
      <c r="E52" s="130"/>
      <c r="F52" s="130"/>
      <c r="G52" s="130"/>
      <c r="H52" s="131"/>
      <c r="I52" s="1"/>
    </row>
    <row r="53" spans="1:9" x14ac:dyDescent="0.25">
      <c r="A53" s="1"/>
      <c r="B53" s="138" t="s">
        <v>140</v>
      </c>
      <c r="C53" s="139"/>
      <c r="D53" s="139"/>
      <c r="E53" s="139"/>
      <c r="F53" s="140"/>
      <c r="G53" s="23">
        <f>(G41+G42-G43)*(1+'Fane 15. Nøgletal'!C15)</f>
        <v>53640776.100505307</v>
      </c>
      <c r="H53" s="14" t="s">
        <v>3</v>
      </c>
      <c r="I53" s="1"/>
    </row>
    <row r="54" spans="1:9" x14ac:dyDescent="0.25">
      <c r="A54" s="1"/>
      <c r="B54" s="138" t="s">
        <v>141</v>
      </c>
      <c r="C54" s="139"/>
      <c r="D54" s="139"/>
      <c r="E54" s="139"/>
      <c r="F54" s="140"/>
      <c r="G54" s="23">
        <f>(G53)*'Fane 15. Nøgletal'!C26</f>
        <v>0</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9" t="s">
        <v>153</v>
      </c>
      <c r="C57" s="130"/>
      <c r="D57" s="130"/>
      <c r="E57" s="130"/>
      <c r="F57" s="130"/>
      <c r="G57" s="130"/>
      <c r="H57" s="131"/>
      <c r="I57" s="1"/>
    </row>
    <row r="58" spans="1:9" x14ac:dyDescent="0.25">
      <c r="A58" s="1"/>
      <c r="B58" s="138" t="s">
        <v>173</v>
      </c>
      <c r="C58" s="139"/>
      <c r="D58" s="139"/>
      <c r="E58" s="139"/>
      <c r="F58" s="140"/>
      <c r="G58" s="23">
        <f>(G53-G54)*(1+'Fane 15. Nøgletal'!C15)</f>
        <v>55550387.729683302</v>
      </c>
      <c r="H58" s="14" t="s">
        <v>3</v>
      </c>
      <c r="I58" s="1"/>
    </row>
    <row r="59" spans="1:9" x14ac:dyDescent="0.25">
      <c r="A59" s="1"/>
      <c r="B59" s="138" t="s">
        <v>174</v>
      </c>
      <c r="C59" s="139"/>
      <c r="D59" s="139"/>
      <c r="E59" s="139"/>
      <c r="F59" s="140"/>
      <c r="G59" s="23">
        <f>(G58)*'Fane 15. Nøgletal'!C26</f>
        <v>0</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9" t="s">
        <v>196</v>
      </c>
      <c r="C62" s="130"/>
      <c r="D62" s="130"/>
      <c r="E62" s="130"/>
      <c r="F62" s="130"/>
      <c r="G62" s="130"/>
      <c r="H62" s="131"/>
      <c r="I62" s="1"/>
    </row>
    <row r="63" spans="1:9" x14ac:dyDescent="0.25">
      <c r="A63" s="1"/>
      <c r="B63" s="138" t="s">
        <v>197</v>
      </c>
      <c r="C63" s="139"/>
      <c r="D63" s="139"/>
      <c r="E63" s="139"/>
      <c r="F63" s="140"/>
      <c r="G63" s="23">
        <f>(G58-G59)*(1+'Fane 15. Nøgletal'!C15)</f>
        <v>57527981.532860033</v>
      </c>
      <c r="H63" s="14" t="s">
        <v>3</v>
      </c>
      <c r="I63" s="1"/>
    </row>
    <row r="64" spans="1:9" x14ac:dyDescent="0.25">
      <c r="A64" s="1"/>
      <c r="B64" s="138" t="s">
        <v>198</v>
      </c>
      <c r="C64" s="139"/>
      <c r="D64" s="139"/>
      <c r="E64" s="139"/>
      <c r="F64" s="140"/>
      <c r="G64" s="23">
        <f>(G63)*'Fane 15. Nøgletal'!C26</f>
        <v>0</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jZkzTsLnm7QCcB3e3bHVnJrKChnpSlMnz9Z75Pep6vF44yT6ApMEHiT/LMC3N0mJEZ/y9Lw3UaxpD5D9W8E3lg==" saltValue="9uY1IVLASyEVTDjyjrQII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1" t="s">
        <v>88</v>
      </c>
      <c r="C3" s="121"/>
      <c r="D3" s="121"/>
      <c r="E3" s="121"/>
      <c r="F3" s="121"/>
      <c r="G3" s="121"/>
      <c r="H3" s="1"/>
    </row>
    <row r="4" spans="1:8" ht="15" customHeight="1" x14ac:dyDescent="0.25">
      <c r="A4" s="1"/>
      <c r="B4" s="121"/>
      <c r="C4" s="121"/>
      <c r="D4" s="121"/>
      <c r="E4" s="121"/>
      <c r="F4" s="121"/>
      <c r="G4" s="12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9" t="s">
        <v>10</v>
      </c>
      <c r="C8" s="130"/>
      <c r="D8" s="130"/>
      <c r="E8" s="130"/>
      <c r="F8" s="130"/>
      <c r="G8" s="131"/>
      <c r="H8" s="1"/>
    </row>
    <row r="9" spans="1:8" x14ac:dyDescent="0.25">
      <c r="A9" s="1"/>
      <c r="B9" s="138" t="s">
        <v>154</v>
      </c>
      <c r="C9" s="139"/>
      <c r="D9" s="139"/>
      <c r="E9" s="139"/>
      <c r="F9" s="140"/>
      <c r="G9" s="36">
        <v>1.3703498444552382E-2</v>
      </c>
      <c r="H9" s="1"/>
    </row>
    <row r="10" spans="1:8" x14ac:dyDescent="0.25">
      <c r="A10" s="1"/>
      <c r="B10" s="33"/>
      <c r="C10" s="28"/>
      <c r="D10" s="28"/>
      <c r="E10" s="28"/>
      <c r="F10" s="28"/>
      <c r="G10" s="19"/>
      <c r="H10" s="1"/>
    </row>
    <row r="11" spans="1:8" ht="29.25" customHeight="1" x14ac:dyDescent="0.25">
      <c r="A11" s="1"/>
      <c r="B11" s="149" t="s">
        <v>237</v>
      </c>
      <c r="C11" s="150"/>
      <c r="D11" s="150"/>
      <c r="E11" s="150"/>
      <c r="F11" s="150"/>
      <c r="G11" s="15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71Wg0zd4r3GBfoKO0qJLFzfcLsZIfPcj6CTvTL0Z/0qXQ/oNC1xKmnk4ThypxJiBQaBiPP45Gm+ym98gl+iMww==" saltValue="swbqimOgHLbPWoBtqAiG+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2022-12-01T08:21:00Z</dcterms:modified>
</cp:coreProperties>
</file>