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Faxe Vandforsyning AS (V047)\ØR2024\"/>
    </mc:Choice>
  </mc:AlternateContent>
  <xr:revisionPtr revIDLastSave="0" documentId="13_ncr:1_{BA781838-7857-40C6-A53A-E65FE19D217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l="1"/>
  <c r="E31" i="42" s="1"/>
  <c r="E33" i="42" s="1"/>
  <c r="C8" i="2"/>
  <c r="C17" i="22" l="1"/>
  <c r="C17" i="15"/>
  <c r="E27" i="42"/>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<sst xmlns="http://schemas.openxmlformats.org/spreadsheetml/2006/main" count="555" uniqueCount="267">
  <si>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</si>
  <si>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</si>
  <si>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</si>
  <si>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</si>
  <si>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</si>
  <si>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</si>
  <si>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</si>
  <si>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</si>
  <si>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</si>
  <si>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</si>
  <si>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</si>
  <si>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</si>
  <si>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</si>
  <si>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</si>
  <si>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</si>
  <si>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</si>
  <si>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</si>
  <si>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</si>
  <si>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</si>
  <si>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</si>
  <si>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</si>
  <si>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</si>
  <si>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</si>
  <si>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</si>
  <si>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</si>
  <si>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</si>
  <si>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</si>
  <si>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</si>
  <si>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</si>
  <si>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</si>
  <si>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</si>
  <si>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</si>
  <si>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</si>
  <si>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</si>
  <si>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</si>
  <si>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</si>
  <si>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</si>
  <si>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</si>
  <si>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</si>
  <si>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</si>
  <si>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</si>
  <si>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</si>
  <si>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</si>
  <si>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</si>
  <si>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</si>
  <si>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</si>
  <si>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</si>
  <si>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</si>
  <si>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</si>
  <si>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</si>
  <si>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</si>
  <si>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</si>
  <si>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</si>
  <si>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</si>
  <si>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</si>
  <si>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</si>
  <si>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</si>
  <si>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</si>
  <si>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</si>
  <si>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</si>
  <si>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</si>
  <si>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</si>
  <si>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</si>
  <si>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</si>
  <si>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</si>
  <si>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</si>
  <si>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</si>
  <si>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</si>
  <si>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</si>
  <si>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</si>
  <si>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</si>
  <si>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</si>
  <si>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</si>
  <si>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</si>
  <si>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</si>
  <si>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</si>
  <si>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</si>
  <si>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</si>
  <si>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</si>
  <si>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</si>
  <si>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</si>
  <si>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</si>
  <si>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</si>
  <si>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</si>
  <si>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</si>
  <si>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</si>
  <si>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</si>
  <si>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</si>
  <si>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</si>
  <si>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</si>
  <si>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</si>
  <si>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</si>
  <si>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</si>
  <si>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</si>
  <si>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</si>
  <si>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</si>
  <si>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</si>
  <si>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</si>
  <si>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</si>
  <si>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</si>
  <si>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</si>
  <si>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</si>
  <si>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</si>
  <si>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</si>
  <si>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</si>
  <si>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</si>
  <si>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</si>
  <si>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</si>
  <si>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</si>
  <si>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</si>
  <si>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</si>
  <si>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</si>
  <si>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</si>
  <si>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</si>
  <si>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</si>
  <si>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</si>
  <si>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</si>
  <si>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</si>
  <si>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</si>
  <si>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</si>
  <si>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</si>
  <si>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</si>
  <si>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</si>
  <si>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</si>
  <si>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</si>
  <si>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</si>
  <si>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</si>
  <si>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</si>
  <si>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</si>
  <si>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</si>
  <si>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</si>
  <si>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</si>
  <si>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</si>
  <si>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</si>
  <si>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</si>
  <si>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</si>
  <si>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</si>
  <si>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</si>
  <si>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</si>
  <si>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</si>
  <si>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</si>
  <si>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</si>
  <si>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</si>
  <si>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</si>
  <si>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</si>
  <si>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</si>
  <si>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</si>
  <si>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</si>
  <si>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</si>
  <si>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</si>
  <si>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</si>
  <si>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</si>
  <si>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</si>
  <si>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</si>
  <si>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</si>
  <si>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</si>
  <si>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</si>
  <si>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</si>
  <si>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</si>
  <si>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</si>
  <si>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</si>
  <si>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</si>
  <si>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</si>
  <si>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</si>
  <si>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</si>
  <si>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</si>
  <si>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</si>
  <si>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</si>
  <si>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</si>
  <si>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</si>
  <si>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</si>
  <si>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</si>
  <si>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</si>
  <si>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</si>
  <si>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</si>
  <si>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</si>
  <si>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</si>
  <si>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</si>
  <si>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</si>
  <si>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</si>
  <si>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</si>
  <si>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</si>
  <si>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</si>
  <si>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</si>
  <si>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</si>
  <si>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</si>
  <si>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</si>
  <si>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</si>
  <si>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</si>
  <si>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</si>
  <si>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</si>
  <si>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</si>
  <si>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</si>
  <si>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</si>
  <si>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</si>
  <si>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</si>
  <si>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</si>
  <si>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</si>
  <si>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</si>
  <si>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</si>
  <si>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</si>
  <si>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</si>
  <si>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</si>
  <si>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</si>
  <si>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</si>
  <si>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</si>
  <si>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</si>
  <si>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</si>
  <si>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</si>
  <si>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</si>
  <si>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</si>
  <si>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</si>
  <si>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</si>
  <si>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</si>
  <si>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</si>
  <si>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</si>
  <si>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</si>
  <si>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</si>
  <si>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</si>
  <si>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</si>
  <si>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</si>
  <si>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</si>
  <si>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</si>
  <si>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</si>
  <si>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</si>
  <si>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</si>
  <si>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</si>
  <si>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</si>
  <si>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</si>
  <si>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</si>
  <si>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</si>
  <si>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</si>
  <si>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</si>
  <si>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</si>
  <si>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</si>
  <si>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</si>
  <si>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</si>
  <si>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</si>
  <si>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</si>
  <si>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</si>
  <si>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</si>
  <si>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</si>
  <si>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</si>
  <si>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Nye tilslutninger</t>
  </si>
  <si>
    <t>Udvidelse af solgte vandmængder til storkunde</t>
  </si>
  <si>
    <t>Nødforsyning Rønnede Vandværk</t>
  </si>
  <si>
    <t>Ingen engangstillæg</t>
  </si>
  <si>
    <t>Afgift for ledningsført vand</t>
  </si>
  <si>
    <t>Afgift til Forsyningssekretariatet</t>
  </si>
  <si>
    <t>Ejendomsskat</t>
  </si>
  <si>
    <t>Frivillige aftaler om dyrkningspraksis eller andre restriktioner i arealanvendelse</t>
  </si>
  <si>
    <t>Undersøgelsesudgifter i forbindelse med fusion</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</si>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</sst>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0" fillId="0" borderId="0" xfId="0" applyNumberForma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8" t="s">
        <v>235</v>
      </c>
      <c r="E8" s="88"/>
      <c r="F8" s="88"/>
      <c r="G8" s="8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0" t="s">
        <v>162</v>
      </c>
      <c r="E13" s="81"/>
      <c r="F13" s="81"/>
      <c r="G13" s="82"/>
      <c r="H13" s="1"/>
      <c r="I13" s="1"/>
    </row>
    <row r="14" spans="1:9" x14ac:dyDescent="0.25">
      <c r="A14" s="1"/>
      <c r="B14" s="1"/>
      <c r="C14" s="6" t="s">
        <v>14</v>
      </c>
      <c r="D14" s="80" t="s">
        <v>197</v>
      </c>
      <c r="E14" s="81"/>
      <c r="F14" s="81"/>
      <c r="G14" s="82"/>
      <c r="H14" s="1"/>
      <c r="I14" s="1"/>
    </row>
    <row r="15" spans="1:9" x14ac:dyDescent="0.25">
      <c r="A15" s="1"/>
      <c r="B15" s="1"/>
      <c r="C15" s="6" t="s">
        <v>30</v>
      </c>
      <c r="D15" s="80" t="s">
        <v>141</v>
      </c>
      <c r="E15" s="81"/>
      <c r="F15" s="81"/>
      <c r="G15" s="82"/>
      <c r="H15" s="1"/>
      <c r="I15" s="1"/>
    </row>
    <row r="16" spans="1:9" x14ac:dyDescent="0.25">
      <c r="A16" s="1"/>
      <c r="B16" s="1"/>
      <c r="C16" s="6" t="s">
        <v>31</v>
      </c>
      <c r="D16" s="80" t="s">
        <v>194</v>
      </c>
      <c r="E16" s="81"/>
      <c r="F16" s="81"/>
      <c r="G16" s="82"/>
      <c r="H16" s="1"/>
      <c r="I16" s="1"/>
    </row>
    <row r="17" spans="1:9" x14ac:dyDescent="0.25">
      <c r="A17" s="1"/>
      <c r="B17" s="1"/>
      <c r="C17" s="6" t="s">
        <v>102</v>
      </c>
      <c r="D17" s="80" t="s">
        <v>195</v>
      </c>
      <c r="E17" s="81"/>
      <c r="F17" s="81"/>
      <c r="G17" s="82"/>
      <c r="H17" s="1"/>
      <c r="I17" s="1"/>
    </row>
    <row r="18" spans="1:9" x14ac:dyDescent="0.25">
      <c r="A18" s="1"/>
      <c r="B18" s="1"/>
      <c r="C18" s="6" t="s">
        <v>86</v>
      </c>
      <c r="D18" s="89" t="s">
        <v>79</v>
      </c>
      <c r="E18" s="90"/>
      <c r="F18" s="90"/>
      <c r="G18" s="91"/>
      <c r="H18" s="1"/>
      <c r="I18" s="1"/>
    </row>
    <row r="19" spans="1:9" x14ac:dyDescent="0.25">
      <c r="A19" s="1"/>
      <c r="B19" s="1"/>
      <c r="C19" s="6" t="s">
        <v>87</v>
      </c>
      <c r="D19" s="89" t="s">
        <v>80</v>
      </c>
      <c r="E19" s="90"/>
      <c r="F19" s="90"/>
      <c r="G19" s="91"/>
      <c r="H19" s="1"/>
      <c r="I19" s="1"/>
    </row>
    <row r="20" spans="1:9" x14ac:dyDescent="0.25">
      <c r="A20" s="1"/>
      <c r="B20" s="1"/>
      <c r="C20" s="6" t="s">
        <v>7</v>
      </c>
      <c r="D20" s="89" t="s">
        <v>9</v>
      </c>
      <c r="E20" s="90"/>
      <c r="F20" s="90"/>
      <c r="G20" s="91"/>
      <c r="H20" s="1"/>
      <c r="I20" s="1"/>
    </row>
    <row r="21" spans="1:9" x14ac:dyDescent="0.25">
      <c r="A21" s="1"/>
      <c r="B21" s="1"/>
      <c r="C21" s="6" t="s">
        <v>88</v>
      </c>
      <c r="D21" s="95" t="s">
        <v>11</v>
      </c>
      <c r="E21" s="96"/>
      <c r="F21" s="96"/>
      <c r="G21" s="97"/>
      <c r="H21" s="1"/>
      <c r="I21" s="1"/>
    </row>
    <row r="22" spans="1:9" x14ac:dyDescent="0.25">
      <c r="A22" s="1"/>
      <c r="B22" s="1"/>
      <c r="C22" s="6" t="s">
        <v>73</v>
      </c>
      <c r="D22" s="84" t="s">
        <v>196</v>
      </c>
      <c r="E22" s="85"/>
      <c r="F22" s="85"/>
      <c r="G22" s="86"/>
      <c r="H22" s="1"/>
      <c r="I22" s="1"/>
    </row>
    <row r="23" spans="1:9" x14ac:dyDescent="0.25">
      <c r="A23" s="1"/>
      <c r="B23" s="1"/>
      <c r="C23" s="6" t="s">
        <v>8</v>
      </c>
      <c r="D23" s="84" t="s">
        <v>176</v>
      </c>
      <c r="E23" s="85"/>
      <c r="F23" s="85"/>
      <c r="G23" s="86"/>
      <c r="H23" s="1"/>
      <c r="I23" s="1"/>
    </row>
    <row r="24" spans="1:9" x14ac:dyDescent="0.25">
      <c r="A24" s="1"/>
      <c r="B24" s="1"/>
      <c r="C24" s="6" t="s">
        <v>172</v>
      </c>
      <c r="D24" s="84" t="s">
        <v>163</v>
      </c>
      <c r="E24" s="85"/>
      <c r="F24" s="85"/>
      <c r="G24" s="86"/>
      <c r="H24" s="1"/>
      <c r="I24" s="1"/>
    </row>
    <row r="25" spans="1:9" x14ac:dyDescent="0.25">
      <c r="A25" s="1"/>
      <c r="B25" s="1"/>
      <c r="C25" s="6" t="s">
        <v>173</v>
      </c>
      <c r="D25" s="84" t="s">
        <v>74</v>
      </c>
      <c r="E25" s="85"/>
      <c r="F25" s="85"/>
      <c r="G25" s="86"/>
      <c r="H25" s="1"/>
      <c r="I25" s="1"/>
    </row>
    <row r="26" spans="1:9" x14ac:dyDescent="0.25">
      <c r="A26" s="1"/>
      <c r="B26" s="1"/>
      <c r="C26" s="6" t="s">
        <v>174</v>
      </c>
      <c r="D26" s="84" t="s">
        <v>75</v>
      </c>
      <c r="E26" s="85"/>
      <c r="F26" s="85"/>
      <c r="G26" s="86"/>
      <c r="H26" s="1"/>
      <c r="I26" s="1"/>
    </row>
    <row r="27" spans="1:9" x14ac:dyDescent="0.25">
      <c r="A27" s="1"/>
      <c r="B27" s="1"/>
      <c r="C27" s="6" t="s">
        <v>89</v>
      </c>
      <c r="D27" s="84" t="s">
        <v>103</v>
      </c>
      <c r="E27" s="85"/>
      <c r="F27" s="85"/>
      <c r="G27" s="86"/>
      <c r="H27" s="1"/>
      <c r="I27" s="1"/>
    </row>
    <row r="28" spans="1:9" x14ac:dyDescent="0.25">
      <c r="A28" s="1"/>
      <c r="B28" s="1"/>
      <c r="C28" s="6" t="s">
        <v>83</v>
      </c>
      <c r="D28" s="84" t="s">
        <v>32</v>
      </c>
      <c r="E28" s="85"/>
      <c r="F28" s="85"/>
      <c r="G28" s="86"/>
      <c r="H28" s="1"/>
      <c r="I28" s="1"/>
    </row>
    <row r="29" spans="1:9" x14ac:dyDescent="0.25">
      <c r="A29" s="1"/>
      <c r="B29" s="1"/>
      <c r="C29" s="6" t="s">
        <v>175</v>
      </c>
      <c r="D29" s="92" t="s">
        <v>84</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XeQTkt3vYZxv96aYEAF+/igX1WhzHAkkAEoVjn+XJ0us3j2aO4qbfTdE3HBTcQB+pPGIpGFPASIIRYWEpqKmCw==" saltValue="Ck/X6QxIblk5kclCzCEr9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92</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8" t="s">
        <v>226</v>
      </c>
      <c r="C8" s="109"/>
      <c r="D8" s="110"/>
      <c r="E8" s="1"/>
      <c r="F8" s="1"/>
    </row>
    <row r="9" spans="1:6" ht="15" customHeight="1" x14ac:dyDescent="0.25">
      <c r="A9" s="1"/>
      <c r="B9" s="32" t="s">
        <v>28</v>
      </c>
      <c r="C9" s="11" t="s">
        <v>212</v>
      </c>
      <c r="D9" s="11"/>
      <c r="E9" s="1"/>
      <c r="F9" s="1"/>
    </row>
    <row r="10" spans="1:6" ht="15" customHeight="1" x14ac:dyDescent="0.25">
      <c r="A10" s="1"/>
      <c r="B10" s="72" t="s">
        <v>247</v>
      </c>
      <c r="C10" s="9">
        <v>11931354</v>
      </c>
      <c r="D10" s="14" t="s">
        <v>3</v>
      </c>
      <c r="E10" s="1"/>
      <c r="F10" s="1"/>
    </row>
    <row r="11" spans="1:6" x14ac:dyDescent="0.25">
      <c r="A11" s="1"/>
      <c r="B11" s="72" t="s">
        <v>248</v>
      </c>
      <c r="C11" s="9">
        <v>93419</v>
      </c>
      <c r="D11" s="14" t="s">
        <v>3</v>
      </c>
      <c r="E11" s="1"/>
      <c r="F11" s="1"/>
    </row>
    <row r="12" spans="1:6" x14ac:dyDescent="0.25">
      <c r="A12" s="1"/>
      <c r="B12" s="72" t="s">
        <v>249</v>
      </c>
      <c r="C12" s="9">
        <v>38344.050000000003</v>
      </c>
      <c r="D12" s="14" t="s">
        <v>3</v>
      </c>
      <c r="E12" s="1"/>
      <c r="F12" s="1"/>
    </row>
    <row r="13" spans="1:6" ht="26.25" x14ac:dyDescent="0.25">
      <c r="A13" s="1"/>
      <c r="B13" s="55" t="s">
        <v>250</v>
      </c>
      <c r="C13" s="9">
        <v>72613.63</v>
      </c>
      <c r="D13" s="14" t="s">
        <v>3</v>
      </c>
      <c r="E13" s="1"/>
      <c r="F13" s="1"/>
    </row>
    <row r="14" spans="1:6" x14ac:dyDescent="0.25">
      <c r="A14" s="1"/>
      <c r="B14" s="72" t="s">
        <v>251</v>
      </c>
      <c r="C14" s="9">
        <v>20527.5</v>
      </c>
      <c r="D14" s="14" t="s">
        <v>3</v>
      </c>
      <c r="E14" s="1"/>
      <c r="F14" s="1"/>
    </row>
    <row r="15" spans="1:6" x14ac:dyDescent="0.25">
      <c r="A15" s="1"/>
      <c r="B15" s="72"/>
      <c r="C15" s="9"/>
      <c r="D15" s="14" t="s">
        <v>3</v>
      </c>
      <c r="E15" s="1"/>
      <c r="F15" s="1"/>
    </row>
    <row r="16" spans="1:6" x14ac:dyDescent="0.25">
      <c r="A16" s="1"/>
      <c r="B16" s="72"/>
      <c r="C16" s="9"/>
      <c r="D16" s="14" t="s">
        <v>3</v>
      </c>
      <c r="E16" s="1"/>
      <c r="F16" s="1"/>
    </row>
    <row r="17" spans="1:6" x14ac:dyDescent="0.25">
      <c r="A17" s="1"/>
      <c r="B17" s="72"/>
      <c r="C17" s="9"/>
      <c r="D17" s="14" t="s">
        <v>3</v>
      </c>
      <c r="E17" s="1"/>
      <c r="F17" s="1"/>
    </row>
    <row r="18" spans="1:6" x14ac:dyDescent="0.25">
      <c r="A18" s="1"/>
      <c r="B18" s="72"/>
      <c r="C18" s="9"/>
      <c r="D18" s="14" t="s">
        <v>3</v>
      </c>
      <c r="E18" s="1"/>
      <c r="F18" s="1"/>
    </row>
    <row r="19" spans="1:6" x14ac:dyDescent="0.25">
      <c r="A19" s="1"/>
      <c r="B19" s="52" t="s">
        <v>213</v>
      </c>
      <c r="C19" s="12">
        <f>SUM(C10:C18)</f>
        <v>12156258.180000002</v>
      </c>
      <c r="D19" s="13" t="s">
        <v>3</v>
      </c>
      <c r="E19" s="1"/>
      <c r="F19" s="1"/>
    </row>
    <row r="20" spans="1:6" x14ac:dyDescent="0.25">
      <c r="A20" s="1"/>
      <c r="B20" s="52" t="s">
        <v>214</v>
      </c>
      <c r="C20" s="12">
        <f>C19*(1+'Fane 13. Nøgletal'!C16)^2</f>
        <v>14200073.335292276</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9lRmOUDzPJ0RsjtMrU+/uKsqi6ubYAdR2HKlatj2BXKm1Rzi0C4t/MxNmf10K94PEDm6tKIZcSOFyWRlMstx3A==" saltValue="nMkiPqonWJxncNlu0hE33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3F55-242A-45DE-9716-3C27D39FCBAB}">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1" t="s">
        <v>227</v>
      </c>
      <c r="C3" s="101"/>
      <c r="D3" s="101"/>
      <c r="E3" s="101"/>
      <c r="F3" s="101"/>
      <c r="G3" s="1"/>
    </row>
    <row r="4" spans="1:7" ht="15" customHeight="1" x14ac:dyDescent="0.25">
      <c r="A4" s="1"/>
      <c r="B4" s="101"/>
      <c r="C4" s="101"/>
      <c r="D4" s="101"/>
      <c r="E4" s="101"/>
      <c r="F4" s="101"/>
      <c r="G4" s="1"/>
    </row>
    <row r="5" spans="1:7" ht="15" customHeight="1" x14ac:dyDescent="0.25">
      <c r="A5" s="1"/>
      <c r="B5" s="65"/>
      <c r="C5" s="65"/>
      <c r="D5" s="65"/>
      <c r="E5" s="65"/>
      <c r="F5" s="65"/>
      <c r="G5" s="1"/>
    </row>
    <row r="6" spans="1:7" ht="15" customHeight="1" x14ac:dyDescent="0.25">
      <c r="A6" s="1"/>
      <c r="B6" s="1"/>
      <c r="C6" s="59"/>
      <c r="D6" s="60"/>
      <c r="E6" s="65"/>
      <c r="F6" s="65"/>
      <c r="G6" s="1"/>
    </row>
    <row r="7" spans="1:7" x14ac:dyDescent="0.25">
      <c r="A7" s="1"/>
      <c r="B7" s="1"/>
      <c r="C7" s="1"/>
      <c r="D7" s="1"/>
      <c r="E7" s="61"/>
      <c r="F7" s="1"/>
      <c r="G7" s="1"/>
    </row>
    <row r="8" spans="1:7" x14ac:dyDescent="0.25">
      <c r="A8" s="1"/>
      <c r="B8" s="108" t="s">
        <v>252</v>
      </c>
      <c r="C8" s="109"/>
      <c r="D8" s="109"/>
      <c r="E8" s="109"/>
      <c r="F8" s="110"/>
      <c r="G8" s="1"/>
    </row>
    <row r="9" spans="1:7" x14ac:dyDescent="0.25">
      <c r="A9" s="1"/>
      <c r="B9" s="102" t="s">
        <v>253</v>
      </c>
      <c r="C9" s="103"/>
      <c r="D9" s="104"/>
      <c r="E9" s="28">
        <v>-447350</v>
      </c>
      <c r="F9" s="14" t="s">
        <v>3</v>
      </c>
      <c r="G9" s="1"/>
    </row>
    <row r="10" spans="1:7" x14ac:dyDescent="0.25">
      <c r="A10" s="1"/>
      <c r="B10" s="52"/>
      <c r="C10" s="53"/>
      <c r="D10" s="53"/>
      <c r="E10" s="53"/>
      <c r="F10" s="19"/>
      <c r="G10" s="1"/>
    </row>
    <row r="11" spans="1:7" ht="53.25" customHeight="1" x14ac:dyDescent="0.25">
      <c r="A11" s="1"/>
      <c r="B11" s="127" t="s">
        <v>254</v>
      </c>
      <c r="C11" s="128"/>
      <c r="D11" s="128"/>
      <c r="E11" s="128"/>
      <c r="F11" s="129"/>
      <c r="G11" s="1"/>
    </row>
    <row r="12" spans="1:7" x14ac:dyDescent="0.25">
      <c r="A12" s="1"/>
      <c r="B12" s="1"/>
      <c r="C12" s="1"/>
      <c r="D12" s="1"/>
      <c r="E12" s="1"/>
      <c r="F12" s="1"/>
      <c r="G12" s="1"/>
    </row>
    <row r="13" spans="1:7" x14ac:dyDescent="0.25">
      <c r="A13" s="1"/>
      <c r="B13" s="108" t="s">
        <v>140</v>
      </c>
      <c r="C13" s="109"/>
      <c r="D13" s="109"/>
      <c r="E13" s="109"/>
      <c r="F13" s="110"/>
      <c r="G13" s="1"/>
    </row>
    <row r="14" spans="1:7" x14ac:dyDescent="0.25">
      <c r="A14" s="1"/>
      <c r="B14" s="102" t="s">
        <v>255</v>
      </c>
      <c r="C14" s="103"/>
      <c r="D14" s="104"/>
      <c r="E14" s="9">
        <v>-307863</v>
      </c>
      <c r="F14" s="14" t="s">
        <v>3</v>
      </c>
      <c r="G14" s="1"/>
    </row>
    <row r="15" spans="1:7" x14ac:dyDescent="0.25">
      <c r="A15" s="1"/>
      <c r="B15" s="102" t="s">
        <v>256</v>
      </c>
      <c r="C15" s="103"/>
      <c r="D15" s="104"/>
      <c r="E15" s="9">
        <v>-307863</v>
      </c>
      <c r="F15" s="14" t="s">
        <v>3</v>
      </c>
      <c r="G15" s="1"/>
    </row>
    <row r="16" spans="1:7" x14ac:dyDescent="0.25">
      <c r="A16" s="1"/>
      <c r="B16" s="52"/>
      <c r="C16" s="53"/>
      <c r="D16" s="53"/>
      <c r="E16" s="53"/>
      <c r="F16" s="19"/>
      <c r="G16" s="1"/>
    </row>
    <row r="17" spans="1:7" ht="32.25" customHeight="1" x14ac:dyDescent="0.25">
      <c r="A17" s="1"/>
      <c r="B17" s="127" t="s">
        <v>257</v>
      </c>
      <c r="C17" s="128"/>
      <c r="D17" s="128"/>
      <c r="E17" s="128"/>
      <c r="F17" s="129"/>
      <c r="G17" s="1"/>
    </row>
    <row r="18" spans="1:7" x14ac:dyDescent="0.25">
      <c r="A18" s="1"/>
      <c r="B18" s="1"/>
      <c r="C18" s="1"/>
      <c r="D18" s="1"/>
      <c r="E18" s="1"/>
      <c r="F18" s="1"/>
      <c r="G18" s="1"/>
    </row>
    <row r="19" spans="1:7" x14ac:dyDescent="0.25">
      <c r="A19" s="1"/>
      <c r="B19" s="66" t="s">
        <v>258</v>
      </c>
      <c r="C19" s="67"/>
      <c r="D19" s="67"/>
      <c r="E19" s="67"/>
      <c r="F19" s="68"/>
      <c r="G19" s="1"/>
    </row>
    <row r="20" spans="1:7" x14ac:dyDescent="0.25">
      <c r="A20" s="1"/>
      <c r="B20" s="69" t="s">
        <v>259</v>
      </c>
      <c r="C20" s="70"/>
      <c r="D20" s="71"/>
      <c r="E20" s="9">
        <v>22734554</v>
      </c>
      <c r="F20" s="14" t="s">
        <v>3</v>
      </c>
      <c r="G20" s="1"/>
    </row>
    <row r="21" spans="1:7" x14ac:dyDescent="0.25">
      <c r="A21" s="1"/>
      <c r="B21" s="69" t="s">
        <v>260</v>
      </c>
      <c r="C21" s="70"/>
      <c r="D21" s="71"/>
      <c r="E21" s="9">
        <v>26186376</v>
      </c>
      <c r="F21" s="14" t="s">
        <v>3</v>
      </c>
      <c r="G21" s="1"/>
    </row>
    <row r="22" spans="1:7" x14ac:dyDescent="0.25">
      <c r="A22" s="1"/>
      <c r="B22" s="69" t="s">
        <v>29</v>
      </c>
      <c r="C22" s="70"/>
      <c r="D22" s="71"/>
      <c r="E22" s="9">
        <v>0</v>
      </c>
      <c r="F22" s="14" t="s">
        <v>3</v>
      </c>
      <c r="G22" s="1"/>
    </row>
    <row r="23" spans="1:7" x14ac:dyDescent="0.25">
      <c r="A23" s="1"/>
      <c r="B23" s="74" t="s">
        <v>261</v>
      </c>
      <c r="C23" s="75"/>
      <c r="D23" s="76"/>
      <c r="E23" s="10">
        <f>E20-(E21-E22)</f>
        <v>-3451822</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8" t="s">
        <v>262</v>
      </c>
      <c r="C26" s="109"/>
      <c r="D26" s="109"/>
      <c r="E26" s="109"/>
      <c r="F26" s="110"/>
      <c r="G26" s="1"/>
    </row>
    <row r="27" spans="1:7" x14ac:dyDescent="0.25">
      <c r="A27" s="1"/>
      <c r="B27" s="130" t="s">
        <v>263</v>
      </c>
      <c r="C27" s="131"/>
      <c r="D27" s="132"/>
      <c r="E27" s="62">
        <f>IF(AND(E15&lt;0,E23&gt;0,ABS(SUM(E14:E15))&lt;E23),ABS(E14),IF(AND(E15&lt;0,E23&gt;0,ABS(SUM(E14:E15))&gt;E23),SUM(E14,E23),0))</f>
        <v>0</v>
      </c>
      <c r="F27" s="17" t="s">
        <v>3</v>
      </c>
      <c r="G27" s="1"/>
    </row>
    <row r="28" spans="1:7" x14ac:dyDescent="0.25">
      <c r="A28" s="1"/>
      <c r="B28" s="108"/>
      <c r="C28" s="109"/>
      <c r="D28" s="109"/>
      <c r="E28" s="109"/>
      <c r="F28" s="110"/>
      <c r="G28" s="1"/>
    </row>
    <row r="29" spans="1:7" x14ac:dyDescent="0.25">
      <c r="A29" s="1"/>
      <c r="B29" s="1"/>
      <c r="C29" s="1"/>
      <c r="D29" s="1"/>
      <c r="E29" s="1"/>
      <c r="F29" s="1"/>
      <c r="G29" s="1"/>
    </row>
    <row r="30" spans="1:7" x14ac:dyDescent="0.25">
      <c r="A30" s="1"/>
      <c r="B30" s="108" t="s">
        <v>264</v>
      </c>
      <c r="C30" s="109"/>
      <c r="D30" s="109"/>
      <c r="E30" s="109"/>
      <c r="F30" s="110"/>
      <c r="G30" s="1"/>
    </row>
    <row r="31" spans="1:7" x14ac:dyDescent="0.25">
      <c r="A31" s="1"/>
      <c r="B31" s="120" t="s">
        <v>117</v>
      </c>
      <c r="C31" s="121"/>
      <c r="D31" s="122"/>
      <c r="E31" s="63">
        <f>IF(AND(E9&gt;0,(E9+E23)&gt;0),0,IF(AND(E9&gt;0,(E9+E23)&lt;0),(E9+E23),IF(AND(E9&lt;0,E23&lt;0),E23,0)))</f>
        <v>-3451822</v>
      </c>
      <c r="F31" s="14" t="s">
        <v>3</v>
      </c>
      <c r="G31" s="1"/>
    </row>
    <row r="32" spans="1:7" x14ac:dyDescent="0.25">
      <c r="A32" s="1"/>
      <c r="B32" s="120" t="s">
        <v>85</v>
      </c>
      <c r="C32" s="121"/>
      <c r="D32" s="122"/>
      <c r="E32" s="9">
        <v>2</v>
      </c>
      <c r="F32" s="14" t="s">
        <v>18</v>
      </c>
      <c r="G32" s="1"/>
    </row>
    <row r="33" spans="1:7" x14ac:dyDescent="0.25">
      <c r="A33" s="1"/>
      <c r="B33" s="123" t="s">
        <v>116</v>
      </c>
      <c r="C33" s="123"/>
      <c r="D33" s="123"/>
      <c r="E33" s="62">
        <f>E31/E32</f>
        <v>-1725911</v>
      </c>
      <c r="F33" s="17" t="s">
        <v>3</v>
      </c>
      <c r="G33" s="1"/>
    </row>
    <row r="34" spans="1:7" x14ac:dyDescent="0.25">
      <c r="A34" s="1"/>
      <c r="B34" s="124"/>
      <c r="C34" s="125"/>
      <c r="D34" s="125"/>
      <c r="E34" s="125"/>
      <c r="F34" s="12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TBpFvqzEwiWNaYEIzGcFt6d9Jc+UiJcnRAFq23wTwwQSSBDFB//E5opm6h4LF0RpeMa4dcF7vDyPAEdeJHLlSA==" saltValue="YpoaxDzISjl6SgcFPTpKUg=="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183</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8" t="s">
        <v>184</v>
      </c>
      <c r="C8" s="109"/>
      <c r="D8" s="109"/>
      <c r="E8" s="109"/>
      <c r="F8" s="109"/>
      <c r="G8" s="109"/>
      <c r="H8" s="110"/>
      <c r="I8" s="1"/>
    </row>
    <row r="9" spans="1:9" ht="15" customHeight="1" x14ac:dyDescent="0.25">
      <c r="A9" s="1"/>
      <c r="B9" s="133" t="s">
        <v>234</v>
      </c>
      <c r="C9" s="134"/>
      <c r="D9" s="134"/>
      <c r="E9" s="134"/>
      <c r="F9" s="134"/>
      <c r="G9" s="134"/>
      <c r="H9" s="135"/>
      <c r="I9" s="1"/>
    </row>
    <row r="10" spans="1:9" x14ac:dyDescent="0.25">
      <c r="A10" s="1"/>
      <c r="B10" s="136" t="s">
        <v>185</v>
      </c>
      <c r="C10" s="137"/>
      <c r="D10" s="137"/>
      <c r="E10" s="137"/>
      <c r="F10" s="138"/>
      <c r="G10" s="45"/>
      <c r="H10" s="9" t="s">
        <v>3</v>
      </c>
      <c r="I10" s="1"/>
    </row>
    <row r="11" spans="1:9" x14ac:dyDescent="0.25">
      <c r="A11" s="1"/>
      <c r="B11" s="136" t="s">
        <v>186</v>
      </c>
      <c r="C11" s="137"/>
      <c r="D11" s="137"/>
      <c r="E11" s="137"/>
      <c r="F11" s="138"/>
      <c r="G11" s="45"/>
      <c r="H11" s="9" t="s">
        <v>3</v>
      </c>
      <c r="I11" s="1"/>
    </row>
    <row r="12" spans="1:9" x14ac:dyDescent="0.25">
      <c r="A12" s="1"/>
      <c r="B12" s="136" t="s">
        <v>187</v>
      </c>
      <c r="C12" s="137"/>
      <c r="D12" s="137"/>
      <c r="E12" s="137"/>
      <c r="F12" s="138"/>
      <c r="G12" s="9"/>
      <c r="H12" s="9" t="s">
        <v>3</v>
      </c>
      <c r="I12" s="1"/>
    </row>
    <row r="13" spans="1:9" x14ac:dyDescent="0.25">
      <c r="A13" s="1"/>
      <c r="B13" s="136" t="s">
        <v>188</v>
      </c>
      <c r="C13" s="137"/>
      <c r="D13" s="137"/>
      <c r="E13" s="137"/>
      <c r="F13" s="138"/>
      <c r="G13" s="9"/>
      <c r="H13" s="9" t="s">
        <v>3</v>
      </c>
      <c r="I13" s="1"/>
    </row>
    <row r="14" spans="1:9" x14ac:dyDescent="0.25">
      <c r="A14" s="1"/>
      <c r="B14" s="136" t="s">
        <v>189</v>
      </c>
      <c r="C14" s="137"/>
      <c r="D14" s="137"/>
      <c r="E14" s="137"/>
      <c r="F14" s="138"/>
      <c r="G14" s="9"/>
      <c r="H14" s="9" t="s">
        <v>3</v>
      </c>
      <c r="I14" s="1"/>
    </row>
    <row r="15" spans="1:9" x14ac:dyDescent="0.25">
      <c r="A15" s="1"/>
      <c r="B15" s="136" t="s">
        <v>190</v>
      </c>
      <c r="C15" s="137"/>
      <c r="D15" s="137"/>
      <c r="E15" s="137"/>
      <c r="F15" s="138"/>
      <c r="G15" s="9"/>
      <c r="H15" s="9" t="s">
        <v>3</v>
      </c>
      <c r="I15" s="1"/>
    </row>
    <row r="16" spans="1:9" x14ac:dyDescent="0.25">
      <c r="A16" s="1"/>
      <c r="B16" s="136" t="s">
        <v>191</v>
      </c>
      <c r="C16" s="137"/>
      <c r="D16" s="137"/>
      <c r="E16" s="137"/>
      <c r="F16" s="138"/>
      <c r="G16" s="9"/>
      <c r="H16" s="9" t="s">
        <v>3</v>
      </c>
      <c r="I16" s="1"/>
    </row>
    <row r="17" spans="1:9" x14ac:dyDescent="0.25">
      <c r="A17" s="1"/>
      <c r="B17" s="136" t="s">
        <v>192</v>
      </c>
      <c r="C17" s="137"/>
      <c r="D17" s="137"/>
      <c r="E17" s="137"/>
      <c r="F17" s="138"/>
      <c r="G17" s="9"/>
      <c r="H17" s="9" t="s">
        <v>3</v>
      </c>
      <c r="I17" s="1"/>
    </row>
    <row r="18" spans="1:9" x14ac:dyDescent="0.25">
      <c r="A18" s="1"/>
      <c r="B18" s="108" t="s">
        <v>193</v>
      </c>
      <c r="C18" s="109"/>
      <c r="D18" s="109"/>
      <c r="E18" s="109"/>
      <c r="F18" s="11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Ajwo0OEXEEtp9yJRK9EEjZod/wH25ZA7jfVyomO7CItjs/+6bw0vJQcbYp2dfLOb+oTwHmU0ITuMccg1XC+0Bw==" saltValue="xyDD9cOE8EbNBIIC1ELS9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177</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155</v>
      </c>
      <c r="C8" s="109"/>
      <c r="D8" s="109"/>
      <c r="E8" s="109"/>
      <c r="F8" s="109"/>
      <c r="G8" s="109"/>
      <c r="H8" s="109"/>
      <c r="I8" s="109"/>
      <c r="J8" s="109"/>
      <c r="K8" s="110"/>
      <c r="L8" s="1"/>
    </row>
    <row r="9" spans="1:12" ht="39.75" customHeight="1" x14ac:dyDescent="0.25">
      <c r="A9" s="1"/>
      <c r="B9" s="18" t="s">
        <v>0</v>
      </c>
      <c r="C9" s="18" t="s">
        <v>1</v>
      </c>
      <c r="D9" s="139" t="s">
        <v>170</v>
      </c>
      <c r="E9" s="140"/>
      <c r="F9" s="139" t="s">
        <v>2</v>
      </c>
      <c r="G9" s="140"/>
      <c r="H9" s="139" t="s">
        <v>171</v>
      </c>
      <c r="I9" s="140"/>
      <c r="J9" s="139" t="s">
        <v>26</v>
      </c>
      <c r="K9" s="140"/>
      <c r="L9" s="1"/>
    </row>
    <row r="10" spans="1:12" x14ac:dyDescent="0.25">
      <c r="A10" s="1"/>
      <c r="B10" s="79"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9/LRv98JKH3M5vK822mD5QCskO8R8toPttnWLeXOuGfnqRdIcn2U3SCypsSNWVhJ/JyDRPOpMmV4RuerwpOi5g==" saltValue="ZDLRumSCD6RYD61MqpEey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178</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7" t="s">
        <v>15</v>
      </c>
      <c r="C9" s="77" t="s">
        <v>10</v>
      </c>
      <c r="D9" s="78"/>
      <c r="E9" s="77"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365184.72</v>
      </c>
      <c r="D11" s="14" t="s">
        <v>3</v>
      </c>
      <c r="E11" s="9">
        <v>120844.70000000001</v>
      </c>
      <c r="F11" s="14" t="s">
        <v>3</v>
      </c>
      <c r="G11" s="1"/>
    </row>
    <row r="12" spans="1:7" x14ac:dyDescent="0.25">
      <c r="A12" s="1"/>
      <c r="B12" s="27" t="s">
        <v>244</v>
      </c>
      <c r="C12" s="21">
        <v>198715</v>
      </c>
      <c r="D12" s="14" t="s">
        <v>3</v>
      </c>
      <c r="E12" s="9">
        <v>0</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563899.72</v>
      </c>
      <c r="D17" s="13" t="s">
        <v>3</v>
      </c>
      <c r="E17" s="12">
        <f>SUM(E10:E16)</f>
        <v>120844.70000000001</v>
      </c>
      <c r="F17" s="13" t="s">
        <v>3</v>
      </c>
      <c r="G17" s="1"/>
    </row>
    <row r="18" spans="1:7" x14ac:dyDescent="0.25">
      <c r="A18" s="1"/>
      <c r="B18" s="52" t="s">
        <v>209</v>
      </c>
      <c r="C18" s="12">
        <f>C17*(1+'Fane 13. Nøgletal'!C16)</f>
        <v>609462.81737599999</v>
      </c>
      <c r="D18" s="13" t="s">
        <v>3</v>
      </c>
      <c r="E18" s="12">
        <f>E17*(1+'Fane 13. Nøgletal'!C16)</f>
        <v>130608.95176000001</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xS5TJLNTHdn07nGbec6kH1U7xCamcMLSGAOMrgY/e4BaNRs+ndzflkVG+0d2I3PsSGDFIPa/GMT4MO2Y3QtL1g==" saltValue="n4mDVhTawbIZAO3pNZEWb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179</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8" t="s">
        <v>217</v>
      </c>
      <c r="C9" s="109"/>
      <c r="D9" s="109"/>
      <c r="E9" s="109"/>
      <c r="F9" s="110"/>
      <c r="G9" s="1"/>
    </row>
    <row r="10" spans="1:7" ht="26.25" x14ac:dyDescent="0.25">
      <c r="A10" s="1"/>
      <c r="B10" s="77" t="s">
        <v>15</v>
      </c>
      <c r="C10" s="77" t="s">
        <v>10</v>
      </c>
      <c r="D10" s="78"/>
      <c r="E10" s="77" t="s">
        <v>27</v>
      </c>
      <c r="F10" s="30"/>
      <c r="G10" s="1"/>
    </row>
    <row r="11" spans="1:7" x14ac:dyDescent="0.25">
      <c r="A11" s="1"/>
      <c r="B11" s="23" t="s">
        <v>245</v>
      </c>
      <c r="C11" s="21">
        <v>731059.44</v>
      </c>
      <c r="D11" s="14" t="s">
        <v>3</v>
      </c>
      <c r="E11" s="9">
        <v>0</v>
      </c>
      <c r="F11" s="14" t="s">
        <v>3</v>
      </c>
      <c r="G11" s="1"/>
    </row>
    <row r="12" spans="1:7" x14ac:dyDescent="0.25">
      <c r="A12" s="1"/>
      <c r="B12" s="23" t="s">
        <v>246</v>
      </c>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731059.44</v>
      </c>
      <c r="D14" s="13" t="s">
        <v>3</v>
      </c>
      <c r="E14" s="12">
        <f>SUM(E11:E13)</f>
        <v>0</v>
      </c>
      <c r="F14" s="13" t="s">
        <v>3</v>
      </c>
      <c r="G14" s="1"/>
    </row>
    <row r="15" spans="1:7" x14ac:dyDescent="0.25">
      <c r="A15" s="1"/>
      <c r="B15" s="52" t="s">
        <v>219</v>
      </c>
      <c r="C15" s="12">
        <f>C14*(1+'Fane 13. Nøgletal'!$C$16)^2</f>
        <v>853971.46940636146</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Z9LSbAL+E0bB0OkoZIjICkY+chCykE6DceqoRnQ/yEyLO3y92IGXNxJzvOtIL2F3waVq7nqLEdb2OrYG2SKuQ==" saltValue="dcFtI11+kgx8/pdUJbhlJ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180</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104</v>
      </c>
      <c r="C8" s="109"/>
      <c r="D8" s="109"/>
      <c r="E8" s="109"/>
      <c r="F8" s="110"/>
      <c r="G8" s="1"/>
    </row>
    <row r="9" spans="1:7" ht="15" customHeight="1" x14ac:dyDescent="0.25">
      <c r="A9" s="1"/>
      <c r="B9" s="54" t="s">
        <v>105</v>
      </c>
      <c r="C9" s="133" t="s">
        <v>10</v>
      </c>
      <c r="D9" s="135"/>
      <c r="E9" s="133" t="s">
        <v>27</v>
      </c>
      <c r="F9" s="135"/>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es8z/b/TKUbsxP6PM+xRXNRJw9sXEiEfhA1+JgbkMNiFb2HcXzYD+RWVGKigwebzzCQ5VHbayVkIvszwNqR/GA==" saltValue="Q6hSwPkwP4+yjuxpBR7A0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181</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8" t="s">
        <v>237</v>
      </c>
      <c r="C10" s="109"/>
      <c r="D10" s="109"/>
      <c r="E10" s="109"/>
      <c r="F10" s="110"/>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9sgKvANY7I7tpTliHmHaBJBU3kac+fKbGViVrF/2+Ktt1opvJ98Gnf+DKnpi9aj+5XUq0lndGnE7EN+xKJBng==" saltValue="npSEnq6Kj74/bPqlYe2J9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1" t="s">
        <v>182</v>
      </c>
      <c r="C3" s="101"/>
      <c r="D3" s="1"/>
    </row>
    <row r="4" spans="1:4" ht="25.5" customHeight="1" x14ac:dyDescent="0.25">
      <c r="A4" s="1"/>
      <c r="B4" s="101"/>
      <c r="C4" s="101"/>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72" t="s">
        <v>93</v>
      </c>
      <c r="C9" s="40">
        <v>1.2699999999999999E-2</v>
      </c>
      <c r="D9" s="1"/>
    </row>
    <row r="10" spans="1:4" x14ac:dyDescent="0.25">
      <c r="A10" s="1"/>
      <c r="B10" s="72" t="s">
        <v>21</v>
      </c>
      <c r="C10" s="40">
        <v>1.7500000000000002E-2</v>
      </c>
      <c r="D10" s="1"/>
    </row>
    <row r="11" spans="1:4" x14ac:dyDescent="0.25">
      <c r="A11" s="1"/>
      <c r="B11" s="72"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1" t="s">
        <v>207</v>
      </c>
      <c r="C16" s="42">
        <v>8.0799999999999997E-2</v>
      </c>
      <c r="D16" s="1"/>
    </row>
    <row r="17" spans="1:4" x14ac:dyDescent="0.25">
      <c r="A17" s="1"/>
      <c r="B17" s="108"/>
      <c r="C17" s="110"/>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72" t="s">
        <v>95</v>
      </c>
      <c r="C21" s="42">
        <v>9.1000000000000004E-3</v>
      </c>
      <c r="D21" s="1"/>
    </row>
    <row r="22" spans="1:4" x14ac:dyDescent="0.25">
      <c r="A22" s="1"/>
      <c r="B22" s="72" t="s">
        <v>96</v>
      </c>
      <c r="C22" s="42">
        <v>1.77E-2</v>
      </c>
      <c r="D22" s="1"/>
    </row>
    <row r="23" spans="1:4" x14ac:dyDescent="0.25">
      <c r="A23" s="1"/>
      <c r="B23" s="72" t="s">
        <v>97</v>
      </c>
      <c r="C23" s="42">
        <v>8.6999999999999994E-3</v>
      </c>
      <c r="D23" s="1"/>
    </row>
    <row r="24" spans="1:4" x14ac:dyDescent="0.25">
      <c r="A24" s="1"/>
      <c r="B24" s="72" t="s">
        <v>98</v>
      </c>
      <c r="C24" s="42">
        <v>2.8400000000000002E-2</v>
      </c>
      <c r="D24" s="1"/>
    </row>
    <row r="25" spans="1:4" x14ac:dyDescent="0.25">
      <c r="A25" s="1"/>
      <c r="B25" s="72" t="s">
        <v>111</v>
      </c>
      <c r="C25" s="42">
        <v>2.75E-2</v>
      </c>
      <c r="D25" s="1"/>
    </row>
    <row r="26" spans="1:4" x14ac:dyDescent="0.25">
      <c r="A26" s="1"/>
      <c r="B26" s="72" t="s">
        <v>137</v>
      </c>
      <c r="C26" s="42">
        <v>1.4800000000000001E-2</v>
      </c>
      <c r="D26" s="1"/>
    </row>
    <row r="27" spans="1:4" x14ac:dyDescent="0.25">
      <c r="A27" s="1"/>
      <c r="B27" s="25" t="s">
        <v>154</v>
      </c>
      <c r="C27" s="42">
        <v>0</v>
      </c>
      <c r="D27" s="1"/>
    </row>
    <row r="28" spans="1:4" x14ac:dyDescent="0.25">
      <c r="A28" s="1"/>
      <c r="B28" s="51"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72"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ldcUDeHP5v1/cYv5tRld8H1DjGGvLuK4Pin1ekbM7SaMVKHF+rtSYt48J3vPHIrwlR4BDFT8BseJKnKx9IVHxA==" saltValue="mnBHbr/YZGHbOorFug6Xs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198</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12806717.155622032</v>
      </c>
      <c r="D8" s="8" t="s">
        <v>3</v>
      </c>
      <c r="E8" s="1"/>
    </row>
    <row r="9" spans="1:5" ht="17.100000000000001" customHeight="1" x14ac:dyDescent="0.25">
      <c r="A9" s="1"/>
      <c r="B9" s="24" t="s">
        <v>33</v>
      </c>
      <c r="C9" s="7">
        <f>'Fane 10.1. Varige tillæg'!C18</f>
        <v>609462.81737599999</v>
      </c>
      <c r="D9" s="8" t="s">
        <v>3</v>
      </c>
      <c r="E9" s="1"/>
    </row>
    <row r="10" spans="1:5" ht="17.100000000000001" customHeight="1" x14ac:dyDescent="0.25">
      <c r="A10" s="1"/>
      <c r="B10" s="24" t="s">
        <v>34</v>
      </c>
      <c r="C10" s="9">
        <f>'Fane 10.1. Varige tillæg'!E18</f>
        <v>130608.95176000001</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515716.92968633305</v>
      </c>
      <c r="D15" s="8" t="s">
        <v>3</v>
      </c>
      <c r="E15" s="1"/>
    </row>
    <row r="16" spans="1:5" ht="17.100000000000001" customHeight="1" x14ac:dyDescent="0.25">
      <c r="A16" s="1"/>
      <c r="B16" s="24" t="s">
        <v>9</v>
      </c>
      <c r="C16" s="9">
        <f>-SUM(C8,C9:C15)*'Fane 5. Individuelt eff. krav'!G9</f>
        <v>-131842.07489637955</v>
      </c>
      <c r="D16" s="8" t="s">
        <v>3</v>
      </c>
      <c r="E16" s="1"/>
    </row>
    <row r="17" spans="1:5" ht="17.100000000000001" customHeight="1" x14ac:dyDescent="0.25">
      <c r="A17" s="1"/>
      <c r="B17" s="24" t="s">
        <v>22</v>
      </c>
      <c r="C17" s="9">
        <f>-'Fane 4.1. Gen. krav - drift'!G49</f>
        <v>-158236.64588395064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13772427.133664034</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14200073.335292276</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853971.46940636146</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-25085.781285450114</v>
      </c>
      <c r="D25" s="8" t="s">
        <v>3</v>
      </c>
      <c r="E25" s="1"/>
    </row>
    <row r="26" spans="1:5" ht="15" customHeight="1" x14ac:dyDescent="0.25">
      <c r="A26" s="1"/>
      <c r="B26" s="24" t="s">
        <v>165</v>
      </c>
      <c r="C26" s="9">
        <f>-C24*('Fane 13. Nøgletal'!C28+'Fane 5. Individuelt eff. krav'!G9)</f>
        <v>0</v>
      </c>
      <c r="D26" s="8" t="s">
        <v>3</v>
      </c>
      <c r="E26" s="1"/>
    </row>
    <row r="27" spans="1:5" x14ac:dyDescent="0.25">
      <c r="A27" s="1"/>
      <c r="B27" s="74" t="s">
        <v>76</v>
      </c>
      <c r="C27" s="49">
        <f>SUM(C23:C26)</f>
        <v>828885.68812091136</v>
      </c>
      <c r="D27" s="11" t="s">
        <v>3</v>
      </c>
      <c r="E27" s="1"/>
    </row>
    <row r="28" spans="1:5" ht="15" customHeight="1" x14ac:dyDescent="0.25">
      <c r="A28" s="1"/>
      <c r="B28" s="26" t="s">
        <v>117</v>
      </c>
      <c r="C28" s="53"/>
      <c r="D28" s="19"/>
      <c r="E28" s="1"/>
    </row>
    <row r="29" spans="1:5" x14ac:dyDescent="0.25">
      <c r="A29" s="1"/>
      <c r="B29" s="73" t="s">
        <v>118</v>
      </c>
      <c r="C29" s="10">
        <f>'Fane 7. Kontrol af ØR2022'!E15</f>
        <v>-307863</v>
      </c>
      <c r="D29" s="11" t="s">
        <v>3</v>
      </c>
      <c r="E29" s="1"/>
    </row>
    <row r="30" spans="1:5" x14ac:dyDescent="0.25">
      <c r="A30" s="1"/>
      <c r="B30" s="26" t="s">
        <v>138</v>
      </c>
      <c r="C30" s="53"/>
      <c r="D30" s="19"/>
      <c r="E30" s="1"/>
    </row>
    <row r="31" spans="1:5" x14ac:dyDescent="0.25">
      <c r="A31" s="1"/>
      <c r="B31" s="73" t="s">
        <v>139</v>
      </c>
      <c r="C31" s="10">
        <f>'Fane 8. Skattesagen'!G13</f>
        <v>0</v>
      </c>
      <c r="D31" s="11" t="s">
        <v>3</v>
      </c>
      <c r="E31" s="1"/>
    </row>
    <row r="32" spans="1:5" x14ac:dyDescent="0.25">
      <c r="A32" s="1"/>
      <c r="B32" s="26" t="s">
        <v>265</v>
      </c>
      <c r="C32" s="53"/>
      <c r="D32" s="19"/>
      <c r="E32" s="1"/>
    </row>
    <row r="33" spans="1:5" x14ac:dyDescent="0.25">
      <c r="A33" s="1"/>
      <c r="B33" s="73" t="s">
        <v>266</v>
      </c>
      <c r="C33" s="10">
        <v>784034.53550862567</v>
      </c>
      <c r="D33" s="11" t="s">
        <v>3</v>
      </c>
      <c r="E33" s="1"/>
    </row>
    <row r="34" spans="1:5" x14ac:dyDescent="0.25">
      <c r="A34" s="1"/>
      <c r="B34" s="52" t="s">
        <v>126</v>
      </c>
      <c r="C34" s="33">
        <f>SUM(C19,C21,C27,C29,C31,C33)</f>
        <v>29277557.692585848</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WsHK+vakQ8l23xw5Fn+HN0ZE2sOzpweCa+oLYbTUWqrJxFAsjpi3+WbaceNddxdKHX7myadtKg3fJDnSSByKg==" saltValue="sd1kKa3mhQlp5ok9oVMNZ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199</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13772427.133664034</v>
      </c>
      <c r="D8" s="8" t="s">
        <v>3</v>
      </c>
      <c r="E8" s="1"/>
    </row>
    <row r="9" spans="1:5" ht="15" customHeight="1" x14ac:dyDescent="0.25">
      <c r="A9" s="1"/>
      <c r="B9" s="29" t="s">
        <v>17</v>
      </c>
      <c r="C9" s="9">
        <f>SUM(C8:C8)*'Fane 13. Nøgletal'!C16</f>
        <v>1112812.112400054</v>
      </c>
      <c r="D9" s="8" t="s">
        <v>3</v>
      </c>
      <c r="E9" s="1"/>
    </row>
    <row r="10" spans="1:5" ht="15" customHeight="1" x14ac:dyDescent="0.25">
      <c r="A10" s="1"/>
      <c r="B10" s="29" t="s">
        <v>9</v>
      </c>
      <c r="C10" s="9">
        <f>-SUM(C8:C9)*'Fane 5. Individuelt eff. krav'!G9</f>
        <v>-139555.55630292406</v>
      </c>
      <c r="D10" s="8" t="s">
        <v>3</v>
      </c>
      <c r="E10" s="1"/>
    </row>
    <row r="11" spans="1:5" ht="15" customHeight="1" x14ac:dyDescent="0.25">
      <c r="A11" s="1"/>
      <c r="B11" s="29" t="s">
        <v>22</v>
      </c>
      <c r="C11" s="9">
        <f>-'Fane 4.1. Gen. krav - drift'!G54</f>
        <v>-167601.72353394638</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14578081.966227219</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15347439.260783892</v>
      </c>
      <c r="D15" s="11" t="s">
        <v>3</v>
      </c>
      <c r="E15" s="1"/>
    </row>
    <row r="16" spans="1:5" x14ac:dyDescent="0.25">
      <c r="A16" s="1"/>
      <c r="B16" s="26" t="s">
        <v>117</v>
      </c>
      <c r="C16" s="53"/>
      <c r="D16" s="19"/>
      <c r="E16" s="1"/>
    </row>
    <row r="17" spans="1:5" ht="15" customHeight="1" x14ac:dyDescent="0.25">
      <c r="A17" s="1"/>
      <c r="B17" s="73" t="s">
        <v>118</v>
      </c>
      <c r="C17" s="10">
        <f>'Fane 7. Kontrol af ØR2022'!E33</f>
        <v>-1725911</v>
      </c>
      <c r="D17" s="11" t="s">
        <v>3</v>
      </c>
      <c r="E17" s="1"/>
    </row>
    <row r="18" spans="1:5" x14ac:dyDescent="0.25">
      <c r="A18" s="1"/>
      <c r="B18" s="26" t="s">
        <v>138</v>
      </c>
      <c r="C18" s="53"/>
      <c r="D18" s="19"/>
      <c r="E18" s="1"/>
    </row>
    <row r="19" spans="1:5" x14ac:dyDescent="0.25">
      <c r="A19" s="1"/>
      <c r="B19" s="73" t="s">
        <v>139</v>
      </c>
      <c r="C19" s="10">
        <f>'Fane 8. Skattesagen'!G13</f>
        <v>0</v>
      </c>
      <c r="D19" s="11" t="s">
        <v>3</v>
      </c>
      <c r="E19" s="1"/>
    </row>
    <row r="20" spans="1:5" x14ac:dyDescent="0.25">
      <c r="A20" s="1"/>
      <c r="B20" s="52" t="s">
        <v>128</v>
      </c>
      <c r="C20" s="12">
        <f>SUM(C13,C15,C17,C19)</f>
        <v>28199610.227011111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iQsaD8xkJXWHasM/MDyG1V27e3XwwYgSGXfJuJLneziCcZcdFF2XhDId7gj4ivXfVD9koFl2nvJhZvSTkyoQ==" saltValue="MIKGZhEsSQOyGvqhYHbgK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200</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14578081.966227219</v>
      </c>
      <c r="D8" s="8" t="s">
        <v>3</v>
      </c>
      <c r="E8" s="1"/>
    </row>
    <row r="9" spans="1:5" ht="15" customHeight="1" x14ac:dyDescent="0.25">
      <c r="A9" s="1"/>
      <c r="B9" s="29" t="s">
        <v>17</v>
      </c>
      <c r="C9" s="9">
        <f>SUM(C8:C8)*'Fane 13. Nøgletal'!C16</f>
        <v>1177909.0228711592</v>
      </c>
      <c r="D9" s="8" t="s">
        <v>3</v>
      </c>
      <c r="E9" s="1"/>
    </row>
    <row r="10" spans="1:5" ht="15" customHeight="1" x14ac:dyDescent="0.25">
      <c r="A10" s="1"/>
      <c r="B10" s="29" t="s">
        <v>9</v>
      </c>
      <c r="C10" s="9">
        <f>-SUM(C8:C9)*'Fane 5. Individuelt eff. krav'!G9</f>
        <v>-147719.23052354649</v>
      </c>
      <c r="D10" s="8" t="s">
        <v>3</v>
      </c>
      <c r="E10" s="1"/>
    </row>
    <row r="11" spans="1:5" ht="15" customHeight="1" x14ac:dyDescent="0.25">
      <c r="A11" s="1"/>
      <c r="B11" s="29" t="s">
        <v>22</v>
      </c>
      <c r="C11" s="9">
        <f>-'Fane 4.1. Gen. krav - drift'!G59</f>
        <v>-177521.06393957947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15430750.694635252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16587512.353055229</v>
      </c>
      <c r="D15" s="11" t="s">
        <v>3</v>
      </c>
      <c r="E15" s="1"/>
    </row>
    <row r="16" spans="1:5" x14ac:dyDescent="0.25">
      <c r="A16" s="1"/>
      <c r="B16" s="52" t="s">
        <v>117</v>
      </c>
      <c r="C16" s="53"/>
      <c r="D16" s="19"/>
      <c r="E16" s="1"/>
    </row>
    <row r="17" spans="1:5" x14ac:dyDescent="0.25">
      <c r="A17" s="1"/>
      <c r="B17" s="54" t="s">
        <v>118</v>
      </c>
      <c r="C17" s="10">
        <f>'Fane 7. Kontrol af ØR2022'!E33</f>
        <v>-1725911</v>
      </c>
      <c r="D17" s="11" t="s">
        <v>3</v>
      </c>
      <c r="E17" s="1"/>
    </row>
    <row r="18" spans="1:5" ht="15" customHeight="1" x14ac:dyDescent="0.25">
      <c r="A18" s="1"/>
      <c r="B18" s="26" t="s">
        <v>138</v>
      </c>
      <c r="C18" s="53"/>
      <c r="D18" s="19"/>
      <c r="E18" s="1"/>
    </row>
    <row r="19" spans="1:5" ht="15" customHeight="1" x14ac:dyDescent="0.25">
      <c r="A19" s="1"/>
      <c r="B19" s="73" t="s">
        <v>139</v>
      </c>
      <c r="C19" s="10">
        <f>'Fane 8. Skattesagen'!G14</f>
        <v>0</v>
      </c>
      <c r="D19" s="11" t="s">
        <v>3</v>
      </c>
      <c r="E19" s="1"/>
    </row>
    <row r="20" spans="1:5" x14ac:dyDescent="0.25">
      <c r="A20" s="1"/>
      <c r="B20" s="52" t="s">
        <v>143</v>
      </c>
      <c r="C20" s="12">
        <f>SUM(C13,C15,C17,C19)</f>
        <v>30292352.047690481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xXuHRod0Fqta9REL/j9vZQ65r/EEXpD8iGfLo1hBNYpavzMRX0XpgBmx19j6erjvRq4LJDeTh5ilHersSHw==" saltValue="ggMDKZMzVIMN1OPrk0nLj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204</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15430750.694635252</v>
      </c>
      <c r="D8" s="8" t="s">
        <v>3</v>
      </c>
      <c r="E8" s="1"/>
    </row>
    <row r="9" spans="1:5" ht="15" customHeight="1" x14ac:dyDescent="0.25">
      <c r="A9" s="1"/>
      <c r="B9" s="29" t="s">
        <v>17</v>
      </c>
      <c r="C9" s="9">
        <f>SUM(C8:C8)*'Fane 13. Nøgletal'!C16</f>
        <v>1246804.6561265283</v>
      </c>
      <c r="D9" s="8" t="s">
        <v>3</v>
      </c>
      <c r="E9" s="1"/>
    </row>
    <row r="10" spans="1:5" ht="15" customHeight="1" x14ac:dyDescent="0.25">
      <c r="A10" s="1"/>
      <c r="B10" s="29" t="s">
        <v>9</v>
      </c>
      <c r="C10" s="9">
        <f>-SUM(C8:C9)*'Fane 5. Individuelt eff. krav'!G9</f>
        <v>-156359.29502199867</v>
      </c>
      <c r="D10" s="8" t="s">
        <v>3</v>
      </c>
      <c r="E10" s="1"/>
    </row>
    <row r="11" spans="1:5" ht="15" customHeight="1" x14ac:dyDescent="0.25">
      <c r="A11" s="1"/>
      <c r="B11" s="29" t="s">
        <v>22</v>
      </c>
      <c r="C11" s="9">
        <f>-'Fane 4.1. Gen. krav - drift'!G64</f>
        <v>-188027.47058777953</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16333168.585152004</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17927783.351182092</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3" t="s">
        <v>139</v>
      </c>
      <c r="C19" s="10">
        <f>'Fane 8. Skattesagen'!G15</f>
        <v>0</v>
      </c>
      <c r="D19" s="11" t="s">
        <v>3</v>
      </c>
      <c r="E19" s="1"/>
    </row>
    <row r="20" spans="1:5" x14ac:dyDescent="0.25">
      <c r="A20" s="1"/>
      <c r="B20" s="52" t="s">
        <v>205</v>
      </c>
      <c r="C20" s="12">
        <f>SUM(C13,C15,C17,C19)</f>
        <v>34260951.936334096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Nf6+1wlojDg9zg7Un07OVKm5a6QNIJXm1jzjBrfoa4BF2EES/XlVDJqYy9rB4jwVM6jMIj8X7z/Z/KSQZLS3A==" saltValue="0CmgkbEYWctL8HVigIPJP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1" t="s">
        <v>201</v>
      </c>
      <c r="C3" s="101"/>
      <c r="D3" s="101"/>
      <c r="E3" s="1"/>
    </row>
    <row r="4" spans="1:5"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12471236.875888638</v>
      </c>
      <c r="D8" s="8" t="s">
        <v>3</v>
      </c>
      <c r="E8" s="1"/>
    </row>
    <row r="9" spans="1:5" x14ac:dyDescent="0.25">
      <c r="A9" s="1"/>
      <c r="B9" s="24" t="s">
        <v>33</v>
      </c>
      <c r="C9" s="7">
        <v>146433.84</v>
      </c>
      <c r="D9" s="8" t="s">
        <v>3</v>
      </c>
      <c r="E9" s="1"/>
    </row>
    <row r="10" spans="1:5" x14ac:dyDescent="0.25">
      <c r="A10" s="1"/>
      <c r="B10" s="24" t="s">
        <v>34</v>
      </c>
      <c r="C10" s="9">
        <v>5165.5728000000008</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449372.97187731549</v>
      </c>
      <c r="D15" s="8" t="s">
        <v>3</v>
      </c>
      <c r="E15" s="1"/>
    </row>
    <row r="16" spans="1:5" x14ac:dyDescent="0.25">
      <c r="A16" s="1"/>
      <c r="B16" s="24" t="s">
        <v>9</v>
      </c>
      <c r="C16" s="9">
        <v>-122557.61599188895</v>
      </c>
      <c r="D16" s="8" t="s">
        <v>3</v>
      </c>
      <c r="E16" s="1"/>
    </row>
    <row r="17" spans="1:5" x14ac:dyDescent="0.25">
      <c r="A17" s="1"/>
      <c r="B17" s="24" t="s">
        <v>22</v>
      </c>
      <c r="C17" s="9">
        <v>-142934.48895203316</v>
      </c>
      <c r="D17" s="8" t="s">
        <v>3</v>
      </c>
      <c r="E17" s="1"/>
    </row>
    <row r="18" spans="1:5" x14ac:dyDescent="0.25">
      <c r="A18" s="1"/>
      <c r="B18" s="24" t="s">
        <v>23</v>
      </c>
      <c r="C18" s="9">
        <v>0</v>
      </c>
      <c r="D18" s="8" t="s">
        <v>3</v>
      </c>
      <c r="E18" s="1"/>
    </row>
    <row r="19" spans="1:5" x14ac:dyDescent="0.25">
      <c r="A19" s="1"/>
      <c r="B19" s="74" t="s">
        <v>19</v>
      </c>
      <c r="C19" s="10">
        <v>12806717.155622032</v>
      </c>
      <c r="D19" s="11" t="s">
        <v>3</v>
      </c>
      <c r="E19" s="1"/>
    </row>
    <row r="20" spans="1:5" x14ac:dyDescent="0.25">
      <c r="A20" s="1"/>
      <c r="B20" s="52" t="s">
        <v>11</v>
      </c>
      <c r="C20" s="53"/>
      <c r="D20" s="19"/>
      <c r="E20" s="1"/>
    </row>
    <row r="21" spans="1:5" x14ac:dyDescent="0.25">
      <c r="A21" s="1"/>
      <c r="B21" s="54" t="s">
        <v>11</v>
      </c>
      <c r="C21" s="10">
        <v>12334456.223332562</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4" t="s">
        <v>76</v>
      </c>
      <c r="C27" s="57">
        <v>0</v>
      </c>
      <c r="D27" s="11" t="s">
        <v>3</v>
      </c>
      <c r="E27" s="1"/>
    </row>
    <row r="28" spans="1:5" x14ac:dyDescent="0.25">
      <c r="A28" s="1"/>
      <c r="B28" s="26" t="s">
        <v>117</v>
      </c>
      <c r="C28" s="53"/>
      <c r="D28" s="19"/>
      <c r="E28" s="1"/>
    </row>
    <row r="29" spans="1:5" x14ac:dyDescent="0.25">
      <c r="A29" s="1"/>
      <c r="B29" s="73" t="s">
        <v>118</v>
      </c>
      <c r="C29" s="10">
        <v>-307863.19237045565</v>
      </c>
      <c r="D29" s="11" t="s">
        <v>3</v>
      </c>
      <c r="E29" s="1"/>
    </row>
    <row r="30" spans="1:5" x14ac:dyDescent="0.25">
      <c r="A30" s="1"/>
      <c r="B30" s="26" t="s">
        <v>138</v>
      </c>
      <c r="C30" s="53"/>
      <c r="D30" s="19"/>
      <c r="E30" s="1"/>
    </row>
    <row r="31" spans="1:5" x14ac:dyDescent="0.25">
      <c r="A31" s="1"/>
      <c r="B31" s="73" t="s">
        <v>139</v>
      </c>
      <c r="C31" s="10">
        <v>0</v>
      </c>
      <c r="D31" s="11" t="s">
        <v>3</v>
      </c>
      <c r="E31" s="1"/>
    </row>
    <row r="32" spans="1:5" x14ac:dyDescent="0.25">
      <c r="A32" s="1"/>
      <c r="B32" s="52" t="s">
        <v>239</v>
      </c>
      <c r="C32" s="33">
        <v>24833310.186584137</v>
      </c>
      <c r="D32" s="19" t="s">
        <v>3</v>
      </c>
      <c r="E32" s="1"/>
    </row>
    <row r="33" spans="1:5" ht="30" customHeight="1" x14ac:dyDescent="0.25">
      <c r="A33" s="1"/>
      <c r="B33" s="100" t="s">
        <v>240</v>
      </c>
      <c r="C33" s="100"/>
      <c r="D33" s="100"/>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nbYZE6i2KpsM7NurDn41xYK3bOuJPDcRnuOC2l2RrzACudgOeONz6Z7q89dAYZW94cuUJCgoCCfokGQc6fJQPA==" saltValue="83EXHhWcnd7aDJK8KUkUn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1" t="s">
        <v>90</v>
      </c>
      <c r="C1" s="101"/>
      <c r="D1" s="101"/>
      <c r="E1" s="101"/>
      <c r="F1" s="101"/>
      <c r="G1" s="101"/>
      <c r="H1" s="101"/>
      <c r="I1" s="1"/>
    </row>
    <row r="2" spans="1:9" ht="15" customHeight="1" x14ac:dyDescent="0.25">
      <c r="A2" s="1"/>
      <c r="B2" s="101"/>
      <c r="C2" s="101"/>
      <c r="D2" s="101"/>
      <c r="E2" s="101"/>
      <c r="F2" s="101"/>
      <c r="G2" s="101"/>
      <c r="H2" s="101"/>
      <c r="I2" s="1"/>
    </row>
    <row r="3" spans="1:9" ht="15" customHeight="1" x14ac:dyDescent="0.25">
      <c r="A3" s="1"/>
      <c r="B3" s="101"/>
      <c r="C3" s="101"/>
      <c r="D3" s="101"/>
      <c r="E3" s="101"/>
      <c r="F3" s="101"/>
      <c r="G3" s="101"/>
      <c r="H3" s="101"/>
      <c r="I3" s="1"/>
    </row>
    <row r="4" spans="1:9" x14ac:dyDescent="0.25">
      <c r="A4" s="1"/>
      <c r="B4" s="108" t="s">
        <v>44</v>
      </c>
      <c r="C4" s="109"/>
      <c r="D4" s="109"/>
      <c r="E4" s="109"/>
      <c r="F4" s="109"/>
      <c r="G4" s="109"/>
      <c r="H4" s="110"/>
      <c r="I4" s="1"/>
    </row>
    <row r="5" spans="1:9" x14ac:dyDescent="0.25">
      <c r="A5" s="1"/>
      <c r="B5" s="102" t="s">
        <v>36</v>
      </c>
      <c r="C5" s="103"/>
      <c r="D5" s="103"/>
      <c r="E5" s="103"/>
      <c r="F5" s="104"/>
      <c r="G5" s="47">
        <v>5811757</v>
      </c>
      <c r="H5" s="14" t="s">
        <v>3</v>
      </c>
      <c r="I5" s="1"/>
    </row>
    <row r="6" spans="1:9" x14ac:dyDescent="0.25">
      <c r="A6" s="1"/>
      <c r="B6" s="102" t="s">
        <v>37</v>
      </c>
      <c r="C6" s="103"/>
      <c r="D6" s="103"/>
      <c r="E6" s="103"/>
      <c r="F6" s="104"/>
      <c r="G6" s="22">
        <f>G5*'Fane 13. Nøgletal'!C33</f>
        <v>116235.14</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8" t="s">
        <v>45</v>
      </c>
      <c r="C9" s="109"/>
      <c r="D9" s="109"/>
      <c r="E9" s="109"/>
      <c r="F9" s="109"/>
      <c r="G9" s="109"/>
      <c r="H9" s="110"/>
      <c r="I9" s="1"/>
    </row>
    <row r="10" spans="1:9" x14ac:dyDescent="0.25">
      <c r="A10" s="1"/>
      <c r="B10" s="102" t="s">
        <v>38</v>
      </c>
      <c r="C10" s="103"/>
      <c r="D10" s="103"/>
      <c r="E10" s="103"/>
      <c r="F10" s="104"/>
      <c r="G10" s="22">
        <f>(G5-G6)*(1+'Fane 13. Nøgletal'!C9)</f>
        <v>5767854.9876220003</v>
      </c>
      <c r="H10" s="14" t="s">
        <v>3</v>
      </c>
      <c r="I10" s="1"/>
    </row>
    <row r="11" spans="1:9" x14ac:dyDescent="0.25">
      <c r="A11" s="1"/>
      <c r="B11" s="105" t="s">
        <v>228</v>
      </c>
      <c r="C11" s="106"/>
      <c r="D11" s="106"/>
      <c r="E11" s="106"/>
      <c r="F11" s="107"/>
      <c r="G11" s="47">
        <v>0</v>
      </c>
      <c r="H11" s="14" t="s">
        <v>3</v>
      </c>
      <c r="I11" s="1"/>
    </row>
    <row r="12" spans="1:9" x14ac:dyDescent="0.25">
      <c r="A12" s="1"/>
      <c r="B12" s="102" t="s">
        <v>39</v>
      </c>
      <c r="C12" s="103"/>
      <c r="D12" s="103"/>
      <c r="E12" s="103"/>
      <c r="F12" s="104"/>
      <c r="G12" s="22">
        <f>(G10+G11)*'Fane 13. Nøgletal'!C33</f>
        <v>115357.09975244</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8" t="s">
        <v>46</v>
      </c>
      <c r="C15" s="109"/>
      <c r="D15" s="109"/>
      <c r="E15" s="109"/>
      <c r="F15" s="109"/>
      <c r="G15" s="109"/>
      <c r="H15" s="110"/>
      <c r="I15" s="1"/>
    </row>
    <row r="16" spans="1:9" x14ac:dyDescent="0.25">
      <c r="A16" s="1"/>
      <c r="B16" s="102" t="s">
        <v>40</v>
      </c>
      <c r="C16" s="103"/>
      <c r="D16" s="103"/>
      <c r="E16" s="103"/>
      <c r="F16" s="104"/>
      <c r="G16" s="22">
        <f>(G10+G11-G12)*(1+'Fane 13. Nøgletal'!C11)</f>
        <v>5748025.102174555</v>
      </c>
      <c r="H16" s="14" t="s">
        <v>3</v>
      </c>
      <c r="I16" s="1"/>
    </row>
    <row r="17" spans="1:9" x14ac:dyDescent="0.25">
      <c r="A17" s="1"/>
      <c r="B17" s="102" t="s">
        <v>100</v>
      </c>
      <c r="C17" s="103"/>
      <c r="D17" s="103"/>
      <c r="E17" s="103"/>
      <c r="F17" s="104"/>
      <c r="G17" s="47">
        <v>121445.18169239865</v>
      </c>
      <c r="H17" s="14" t="s">
        <v>3</v>
      </c>
      <c r="I17" s="1"/>
    </row>
    <row r="18" spans="1:9" x14ac:dyDescent="0.25">
      <c r="A18" s="1"/>
      <c r="B18" s="105" t="s">
        <v>229</v>
      </c>
      <c r="C18" s="106"/>
      <c r="D18" s="106"/>
      <c r="E18" s="106"/>
      <c r="F18" s="107"/>
      <c r="G18" s="47">
        <v>0</v>
      </c>
      <c r="H18" s="14" t="s">
        <v>3</v>
      </c>
      <c r="I18" s="1"/>
    </row>
    <row r="19" spans="1:9" x14ac:dyDescent="0.25">
      <c r="A19" s="1"/>
      <c r="B19" s="102" t="s">
        <v>41</v>
      </c>
      <c r="C19" s="103"/>
      <c r="D19" s="103"/>
      <c r="E19" s="103"/>
      <c r="F19" s="104"/>
      <c r="G19" s="22">
        <f>SUM(G16:G18)*'Fane 13. Nøgletal'!C33</f>
        <v>117389.40567733908</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8" t="s">
        <v>47</v>
      </c>
      <c r="C22" s="109"/>
      <c r="D22" s="109"/>
      <c r="E22" s="109"/>
      <c r="F22" s="109"/>
      <c r="G22" s="109"/>
      <c r="H22" s="110"/>
      <c r="I22" s="1"/>
    </row>
    <row r="23" spans="1:9" x14ac:dyDescent="0.25">
      <c r="A23" s="1"/>
      <c r="B23" s="102" t="s">
        <v>42</v>
      </c>
      <c r="C23" s="103"/>
      <c r="D23" s="103"/>
      <c r="E23" s="103"/>
      <c r="F23" s="104"/>
      <c r="G23" s="22">
        <f>(SUM(G16:G18)-G19)*(1+'Fane 13. Nøgletal'!C11)</f>
        <v>5849291.0450310186</v>
      </c>
      <c r="H23" s="14" t="s">
        <v>3</v>
      </c>
      <c r="I23" s="1"/>
    </row>
    <row r="24" spans="1:9" x14ac:dyDescent="0.25">
      <c r="A24" s="1"/>
      <c r="B24" s="105" t="s">
        <v>230</v>
      </c>
      <c r="C24" s="106"/>
      <c r="D24" s="106"/>
      <c r="E24" s="106"/>
      <c r="F24" s="107"/>
      <c r="G24" s="47">
        <v>1073502.1790301602</v>
      </c>
      <c r="H24" s="14" t="s">
        <v>3</v>
      </c>
      <c r="I24" s="1"/>
    </row>
    <row r="25" spans="1:9" x14ac:dyDescent="0.25">
      <c r="A25" s="1"/>
      <c r="B25" s="102" t="s">
        <v>43</v>
      </c>
      <c r="C25" s="103"/>
      <c r="D25" s="103"/>
      <c r="E25" s="103"/>
      <c r="F25" s="104"/>
      <c r="G25" s="22">
        <f>(G23+G24)*'Fane 13. Nøgletal'!C33</f>
        <v>138455.86448122357</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8" t="s">
        <v>121</v>
      </c>
      <c r="C28" s="109"/>
      <c r="D28" s="109"/>
      <c r="E28" s="109"/>
      <c r="F28" s="109"/>
      <c r="G28" s="109"/>
      <c r="H28" s="110"/>
      <c r="I28" s="1"/>
    </row>
    <row r="29" spans="1:9" x14ac:dyDescent="0.25">
      <c r="A29" s="1"/>
      <c r="B29" s="102" t="s">
        <v>50</v>
      </c>
      <c r="C29" s="103"/>
      <c r="D29" s="103"/>
      <c r="E29" s="103"/>
      <c r="F29" s="104"/>
      <c r="G29" s="22">
        <f>(G23+G24-G25)*(1+'Fane 13. Nøgletal'!C13)</f>
        <v>6867106.2753668306</v>
      </c>
      <c r="H29" s="14" t="s">
        <v>3</v>
      </c>
      <c r="I29" s="1"/>
    </row>
    <row r="30" spans="1:9" x14ac:dyDescent="0.25">
      <c r="A30" s="1"/>
      <c r="B30" s="102" t="s">
        <v>231</v>
      </c>
      <c r="C30" s="103"/>
      <c r="D30" s="103"/>
      <c r="E30" s="103"/>
      <c r="F30" s="104"/>
      <c r="G30" s="47">
        <v>0</v>
      </c>
      <c r="H30" s="14" t="s">
        <v>3</v>
      </c>
      <c r="I30" s="1"/>
    </row>
    <row r="31" spans="1:9" x14ac:dyDescent="0.25">
      <c r="A31" s="1"/>
      <c r="B31" s="102" t="s">
        <v>115</v>
      </c>
      <c r="C31" s="103"/>
      <c r="D31" s="103"/>
      <c r="E31" s="103"/>
      <c r="F31" s="104"/>
      <c r="G31" s="22">
        <f>(G29+G30)*'Fane 13. Nøgletal'!C33</f>
        <v>137342.1255073366</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8" t="s">
        <v>122</v>
      </c>
      <c r="C34" s="109"/>
      <c r="D34" s="109"/>
      <c r="E34" s="109"/>
      <c r="F34" s="109"/>
      <c r="G34" s="109"/>
      <c r="H34" s="110"/>
      <c r="I34" s="1"/>
    </row>
    <row r="35" spans="1:9" x14ac:dyDescent="0.25">
      <c r="A35" s="1"/>
      <c r="B35" s="102" t="s">
        <v>69</v>
      </c>
      <c r="C35" s="103"/>
      <c r="D35" s="103"/>
      <c r="E35" s="103"/>
      <c r="F35" s="104"/>
      <c r="G35" s="22">
        <f>(G29+G30-G31)*(1+'Fane 13. Nøgletal'!C13)</f>
        <v>6811867.2724877791</v>
      </c>
      <c r="H35" s="14" t="s">
        <v>3</v>
      </c>
      <c r="I35" s="1"/>
    </row>
    <row r="36" spans="1:9" x14ac:dyDescent="0.25">
      <c r="A36" s="1"/>
      <c r="B36" s="102" t="s">
        <v>232</v>
      </c>
      <c r="C36" s="103"/>
      <c r="D36" s="103"/>
      <c r="E36" s="103"/>
      <c r="F36" s="104"/>
      <c r="G36" s="47">
        <v>80595.307518740025</v>
      </c>
      <c r="H36" s="14" t="s">
        <v>3</v>
      </c>
      <c r="I36" s="1"/>
    </row>
    <row r="37" spans="1:9" x14ac:dyDescent="0.25">
      <c r="A37" s="1"/>
      <c r="B37" s="102" t="s">
        <v>123</v>
      </c>
      <c r="C37" s="103"/>
      <c r="D37" s="103"/>
      <c r="E37" s="103"/>
      <c r="F37" s="104"/>
      <c r="G37" s="22">
        <f>(G35+G36)*'Fane 13. Nøgletal'!C33</f>
        <v>137849.2516001304</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8" t="s">
        <v>157</v>
      </c>
      <c r="C40" s="109"/>
      <c r="D40" s="109"/>
      <c r="E40" s="109"/>
      <c r="F40" s="109"/>
      <c r="G40" s="109"/>
      <c r="H40" s="110"/>
      <c r="I40" s="1"/>
    </row>
    <row r="41" spans="1:9" x14ac:dyDescent="0.25">
      <c r="A41" s="1"/>
      <c r="B41" s="102" t="s">
        <v>68</v>
      </c>
      <c r="C41" s="103"/>
      <c r="D41" s="103"/>
      <c r="E41" s="103"/>
      <c r="F41" s="104"/>
      <c r="G41" s="22">
        <f>(G35+G36-G37)*(1+'Fane 13. Nøgletal'!C15)</f>
        <v>6995077.562897657</v>
      </c>
      <c r="H41" s="14" t="s">
        <v>3</v>
      </c>
      <c r="I41" s="1"/>
    </row>
    <row r="42" spans="1:9" x14ac:dyDescent="0.25">
      <c r="A42" s="1"/>
      <c r="B42" s="102" t="s">
        <v>156</v>
      </c>
      <c r="C42" s="103"/>
      <c r="D42" s="103"/>
      <c r="E42" s="103"/>
      <c r="F42" s="104"/>
      <c r="G42" s="22">
        <v>151646.884704</v>
      </c>
      <c r="H42" s="14" t="s">
        <v>3</v>
      </c>
      <c r="I42" s="1"/>
    </row>
    <row r="43" spans="1:9" x14ac:dyDescent="0.25">
      <c r="A43" s="1"/>
      <c r="B43" s="102" t="s">
        <v>166</v>
      </c>
      <c r="C43" s="103"/>
      <c r="D43" s="103"/>
      <c r="E43" s="103"/>
      <c r="F43" s="104"/>
      <c r="G43" s="22">
        <f>(G41+G42)*'Fane 13. Nøgletal'!C33</f>
        <v>142934.48895203316</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8" t="s">
        <v>158</v>
      </c>
      <c r="C46" s="109"/>
      <c r="D46" s="109"/>
      <c r="E46" s="109"/>
      <c r="F46" s="109"/>
      <c r="G46" s="109"/>
      <c r="H46" s="110"/>
      <c r="I46" s="1"/>
    </row>
    <row r="47" spans="1:9" x14ac:dyDescent="0.25">
      <c r="A47" s="1"/>
      <c r="B47" s="102" t="s">
        <v>112</v>
      </c>
      <c r="C47" s="103"/>
      <c r="D47" s="103"/>
      <c r="E47" s="103"/>
      <c r="F47" s="104"/>
      <c r="G47" s="22">
        <f>(G41+G42-G43)*(1+'Fane 13. Nøgletal'!C15)</f>
        <v>7253124.8811775511</v>
      </c>
      <c r="H47" s="14" t="s">
        <v>3</v>
      </c>
      <c r="I47" s="1"/>
    </row>
    <row r="48" spans="1:9" x14ac:dyDescent="0.25">
      <c r="A48" s="1"/>
      <c r="B48" s="102" t="s">
        <v>206</v>
      </c>
      <c r="C48" s="103"/>
      <c r="D48" s="103"/>
      <c r="E48" s="103"/>
      <c r="F48" s="104"/>
      <c r="G48" s="22">
        <f>('Fane 2.1. Økonomisk ramme 2024'!C9+'Fane 2.1. Økonomisk ramme 2024'!C11+'Fane 2.1. Økonomisk ramme 2024'!C13)*(1+'Fane 13. Nøgletal'!C16)</f>
        <v>658707.41301998077</v>
      </c>
      <c r="H48" s="14" t="s">
        <v>3</v>
      </c>
      <c r="I48" s="1"/>
    </row>
    <row r="49" spans="1:9" x14ac:dyDescent="0.25">
      <c r="A49" s="1"/>
      <c r="B49" s="102" t="s">
        <v>167</v>
      </c>
      <c r="C49" s="103"/>
      <c r="D49" s="103"/>
      <c r="E49" s="103"/>
      <c r="F49" s="104"/>
      <c r="G49" s="22">
        <f>G47*'Fane 13. Nøgletal'!C33+G48*'Fane 13. Nøgletal'!C33</f>
        <v>158236.64588395064</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8" t="s">
        <v>133</v>
      </c>
      <c r="C52" s="109"/>
      <c r="D52" s="109"/>
      <c r="E52" s="109"/>
      <c r="F52" s="109"/>
      <c r="G52" s="109"/>
      <c r="H52" s="110"/>
      <c r="I52" s="1"/>
    </row>
    <row r="53" spans="1:9" x14ac:dyDescent="0.25">
      <c r="A53" s="1"/>
      <c r="B53" s="102" t="s">
        <v>134</v>
      </c>
      <c r="C53" s="103"/>
      <c r="D53" s="103"/>
      <c r="E53" s="103"/>
      <c r="F53" s="104"/>
      <c r="G53" s="22">
        <f>(G47+G48-G49)*(1+'Fane 13. Nøgletal'!C16)</f>
        <v>8380086.1766973184</v>
      </c>
      <c r="H53" s="14" t="s">
        <v>3</v>
      </c>
      <c r="I53" s="1"/>
    </row>
    <row r="54" spans="1:9" x14ac:dyDescent="0.25">
      <c r="A54" s="1"/>
      <c r="B54" s="102" t="s">
        <v>135</v>
      </c>
      <c r="C54" s="103"/>
      <c r="D54" s="103"/>
      <c r="E54" s="103"/>
      <c r="F54" s="104"/>
      <c r="G54" s="22">
        <f>(G53)*'Fane 13. Nøgletal'!C33</f>
        <v>167601.72353394638</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8" t="s">
        <v>144</v>
      </c>
      <c r="C57" s="109"/>
      <c r="D57" s="109"/>
      <c r="E57" s="109"/>
      <c r="F57" s="109"/>
      <c r="G57" s="109"/>
      <c r="H57" s="110"/>
      <c r="I57" s="1"/>
    </row>
    <row r="58" spans="1:9" x14ac:dyDescent="0.25">
      <c r="A58" s="1"/>
      <c r="B58" s="102" t="s">
        <v>145</v>
      </c>
      <c r="C58" s="103"/>
      <c r="D58" s="103"/>
      <c r="E58" s="103"/>
      <c r="F58" s="104"/>
      <c r="G58" s="22">
        <f>(G53-G54)*(1+'Fane 13. Nøgletal'!C16)</f>
        <v>8876053.1969789732</v>
      </c>
      <c r="H58" s="14" t="s">
        <v>3</v>
      </c>
      <c r="I58" s="1"/>
    </row>
    <row r="59" spans="1:9" x14ac:dyDescent="0.25">
      <c r="A59" s="1"/>
      <c r="B59" s="102" t="s">
        <v>146</v>
      </c>
      <c r="C59" s="103"/>
      <c r="D59" s="103"/>
      <c r="E59" s="103"/>
      <c r="F59" s="104"/>
      <c r="G59" s="22">
        <f>(G58)*'Fane 13. Nøgletal'!C33</f>
        <v>177521.06393957947</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8" t="s">
        <v>220</v>
      </c>
      <c r="C62" s="109"/>
      <c r="D62" s="109"/>
      <c r="E62" s="109"/>
      <c r="F62" s="109"/>
      <c r="G62" s="109"/>
      <c r="H62" s="110"/>
      <c r="I62" s="1"/>
    </row>
    <row r="63" spans="1:9" x14ac:dyDescent="0.25">
      <c r="A63" s="1"/>
      <c r="B63" s="102" t="s">
        <v>221</v>
      </c>
      <c r="C63" s="103"/>
      <c r="D63" s="103"/>
      <c r="E63" s="103"/>
      <c r="F63" s="104"/>
      <c r="G63" s="22">
        <f>(G58-G59)*(1+'Fane 13. Nøgletal'!C16)</f>
        <v>9401373.5293889772</v>
      </c>
      <c r="H63" s="14" t="s">
        <v>3</v>
      </c>
      <c r="I63" s="1"/>
    </row>
    <row r="64" spans="1:9" x14ac:dyDescent="0.25">
      <c r="A64" s="1"/>
      <c r="B64" s="102" t="s">
        <v>222</v>
      </c>
      <c r="C64" s="103"/>
      <c r="D64" s="103"/>
      <c r="E64" s="103"/>
      <c r="F64" s="104"/>
      <c r="G64" s="22">
        <f>(G63)*'Fane 13. Nøgletal'!C33</f>
        <v>188027.47058777953</v>
      </c>
      <c r="H64" s="14" t="s">
        <v>3</v>
      </c>
      <c r="I64" s="1"/>
    </row>
    <row r="65" spans="1:9" x14ac:dyDescent="0.25">
      <c r="A65" s="1"/>
      <c r="B65" s="52"/>
      <c r="C65" s="53"/>
      <c r="D65" s="53"/>
      <c r="E65" s="53"/>
      <c r="F65" s="53"/>
      <c r="G65" s="50"/>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cNojGuY6Yf69zUIVPwq0MNCqlrXMXjWU04gcCaf35nJ6HuepnX1poEzQnA4vlMXqDxYxO3bfTHT8TlQmlq7ooQ==" saltValue="eKhS/AlVBZ8Bhqz5LVCfrA=="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1" t="s">
        <v>91</v>
      </c>
      <c r="C1" s="112"/>
      <c r="D1" s="112"/>
      <c r="E1" s="112"/>
      <c r="F1" s="112"/>
      <c r="G1" s="112"/>
      <c r="H1" s="112"/>
      <c r="I1" s="1"/>
    </row>
    <row r="2" spans="1:9" ht="19.899999999999999" customHeight="1" x14ac:dyDescent="0.25">
      <c r="A2" s="1"/>
      <c r="B2" s="112"/>
      <c r="C2" s="112"/>
      <c r="D2" s="112"/>
      <c r="E2" s="112"/>
      <c r="F2" s="112"/>
      <c r="G2" s="112"/>
      <c r="H2" s="112"/>
      <c r="I2" s="1"/>
    </row>
    <row r="3" spans="1:9" ht="15" customHeight="1" x14ac:dyDescent="0.25">
      <c r="A3" s="1"/>
      <c r="B3" s="113"/>
      <c r="C3" s="113"/>
      <c r="D3" s="113"/>
      <c r="E3" s="113"/>
      <c r="F3" s="113"/>
      <c r="G3" s="113"/>
      <c r="H3" s="113"/>
      <c r="I3" s="1"/>
    </row>
    <row r="4" spans="1:9" x14ac:dyDescent="0.25">
      <c r="A4" s="1"/>
      <c r="B4" s="108" t="s">
        <v>48</v>
      </c>
      <c r="C4" s="109"/>
      <c r="D4" s="109"/>
      <c r="E4" s="109"/>
      <c r="F4" s="109"/>
      <c r="G4" s="109"/>
      <c r="H4" s="110"/>
      <c r="I4" s="1"/>
    </row>
    <row r="5" spans="1:9" x14ac:dyDescent="0.25">
      <c r="A5" s="1"/>
      <c r="B5" s="102" t="s">
        <v>51</v>
      </c>
      <c r="C5" s="103"/>
      <c r="D5" s="103"/>
      <c r="E5" s="103"/>
      <c r="F5" s="104"/>
      <c r="G5" s="47">
        <v>5832113</v>
      </c>
      <c r="H5" s="14" t="s">
        <v>3</v>
      </c>
      <c r="I5" s="1"/>
    </row>
    <row r="6" spans="1:9" x14ac:dyDescent="0.25">
      <c r="A6" s="1"/>
      <c r="B6" s="102" t="s">
        <v>49</v>
      </c>
      <c r="C6" s="103"/>
      <c r="D6" s="103"/>
      <c r="E6" s="103"/>
      <c r="F6" s="104"/>
      <c r="G6" s="22">
        <f>G5*'Fane 13. Nøgletal'!C21</f>
        <v>53072.228300000002</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8" t="s">
        <v>52</v>
      </c>
      <c r="C9" s="109"/>
      <c r="D9" s="109"/>
      <c r="E9" s="109"/>
      <c r="F9" s="109"/>
      <c r="G9" s="109"/>
      <c r="H9" s="110"/>
      <c r="I9" s="1"/>
    </row>
    <row r="10" spans="1:9" x14ac:dyDescent="0.25">
      <c r="A10" s="1"/>
      <c r="B10" s="102" t="s">
        <v>53</v>
      </c>
      <c r="C10" s="103"/>
      <c r="D10" s="103"/>
      <c r="E10" s="103"/>
      <c r="F10" s="104"/>
      <c r="G10" s="22">
        <f>(G5-G6)*(1+'Fane 13. Nøgletal'!C9)</f>
        <v>5852434.5895005902</v>
      </c>
      <c r="H10" s="14" t="s">
        <v>3</v>
      </c>
      <c r="I10" s="1"/>
    </row>
    <row r="11" spans="1:9" x14ac:dyDescent="0.25">
      <c r="A11" s="1"/>
      <c r="B11" s="105" t="s">
        <v>54</v>
      </c>
      <c r="C11" s="106"/>
      <c r="D11" s="106"/>
      <c r="E11" s="106"/>
      <c r="F11" s="107"/>
      <c r="G11" s="48">
        <v>0</v>
      </c>
      <c r="H11" s="14" t="s">
        <v>3</v>
      </c>
      <c r="I11" s="1"/>
    </row>
    <row r="12" spans="1:9" x14ac:dyDescent="0.25">
      <c r="A12" s="1"/>
      <c r="B12" s="102" t="s">
        <v>55</v>
      </c>
      <c r="C12" s="103"/>
      <c r="D12" s="103"/>
      <c r="E12" s="103"/>
      <c r="F12" s="104"/>
      <c r="G12" s="22">
        <f>G10*'Fane 13. Nøgletal'!C21+G11*'Fane 13. Nøgletal'!C22</f>
        <v>53257.154764455372</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8" t="s">
        <v>56</v>
      </c>
      <c r="C15" s="109"/>
      <c r="D15" s="109"/>
      <c r="E15" s="109"/>
      <c r="F15" s="109"/>
      <c r="G15" s="109"/>
      <c r="H15" s="110"/>
      <c r="I15" s="1"/>
    </row>
    <row r="16" spans="1:9" x14ac:dyDescent="0.25">
      <c r="A16" s="1"/>
      <c r="B16" s="102" t="s">
        <v>57</v>
      </c>
      <c r="C16" s="103"/>
      <c r="D16" s="103"/>
      <c r="E16" s="103"/>
      <c r="F16" s="104"/>
      <c r="G16" s="22">
        <f>(G10+G11-G12)*(1+'Fane 13. Nøgletal'!C11)</f>
        <v>5897183.5333831748</v>
      </c>
      <c r="H16" s="14" t="s">
        <v>3</v>
      </c>
      <c r="I16" s="1"/>
    </row>
    <row r="17" spans="1:9" x14ac:dyDescent="0.25">
      <c r="A17" s="1"/>
      <c r="B17" s="102" t="s">
        <v>101</v>
      </c>
      <c r="C17" s="103"/>
      <c r="D17" s="103"/>
      <c r="E17" s="103"/>
      <c r="F17" s="104"/>
      <c r="G17" s="47">
        <v>271836.88267138851</v>
      </c>
      <c r="H17" s="14" t="s">
        <v>3</v>
      </c>
      <c r="I17" s="1"/>
    </row>
    <row r="18" spans="1:9" x14ac:dyDescent="0.25">
      <c r="A18" s="1"/>
      <c r="B18" s="105" t="s">
        <v>58</v>
      </c>
      <c r="C18" s="106"/>
      <c r="D18" s="106"/>
      <c r="E18" s="106"/>
      <c r="F18" s="107"/>
      <c r="G18" s="47">
        <v>245428.84459178994</v>
      </c>
      <c r="H18" s="14" t="s">
        <v>3</v>
      </c>
      <c r="I18" s="1"/>
    </row>
    <row r="19" spans="1:9" x14ac:dyDescent="0.25">
      <c r="A19" s="1"/>
      <c r="B19" s="102" t="s">
        <v>59</v>
      </c>
      <c r="C19" s="103"/>
      <c r="D19" s="103"/>
      <c r="E19" s="103"/>
      <c r="F19" s="104"/>
      <c r="G19" s="22">
        <f>(G16+G17+G18)*'Fane 13. Nøgletal'!C23</f>
        <v>55805.708567623275</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8" t="s">
        <v>60</v>
      </c>
      <c r="C22" s="109"/>
      <c r="D22" s="109"/>
      <c r="E22" s="109"/>
      <c r="F22" s="109"/>
      <c r="G22" s="109"/>
      <c r="H22" s="110"/>
      <c r="I22" s="1"/>
    </row>
    <row r="23" spans="1:9" x14ac:dyDescent="0.25">
      <c r="A23" s="1"/>
      <c r="B23" s="102" t="s">
        <v>61</v>
      </c>
      <c r="C23" s="103"/>
      <c r="D23" s="103"/>
      <c r="E23" s="103"/>
      <c r="F23" s="104"/>
      <c r="G23" s="22">
        <f>(SUM(G16:G18)-G19)*(1+'Fane 13. Nøgletal'!C11)</f>
        <v>6466104.62810886</v>
      </c>
      <c r="H23" s="14" t="s">
        <v>3</v>
      </c>
      <c r="I23" s="1"/>
    </row>
    <row r="24" spans="1:9" x14ac:dyDescent="0.25">
      <c r="A24" s="1"/>
      <c r="B24" s="105" t="s">
        <v>62</v>
      </c>
      <c r="C24" s="106"/>
      <c r="D24" s="106"/>
      <c r="E24" s="106"/>
      <c r="F24" s="107"/>
      <c r="G24" s="47">
        <v>179328.96982585354</v>
      </c>
      <c r="H24" s="14" t="s">
        <v>3</v>
      </c>
      <c r="I24" s="1"/>
    </row>
    <row r="25" spans="1:9" x14ac:dyDescent="0.25">
      <c r="A25" s="1"/>
      <c r="B25" s="102" t="s">
        <v>63</v>
      </c>
      <c r="C25" s="103"/>
      <c r="D25" s="103"/>
      <c r="E25" s="103"/>
      <c r="F25" s="104"/>
      <c r="G25" s="22">
        <f>G23*'Fane 13. Nøgletal'!C23+G24*'Fane 13. Nøgletal'!C24</f>
        <v>61348.053007601316</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8" t="s">
        <v>119</v>
      </c>
      <c r="C28" s="109"/>
      <c r="D28" s="109"/>
      <c r="E28" s="109"/>
      <c r="F28" s="109"/>
      <c r="G28" s="109"/>
      <c r="H28" s="110"/>
      <c r="I28" s="1"/>
    </row>
    <row r="29" spans="1:9" x14ac:dyDescent="0.25">
      <c r="A29" s="1"/>
      <c r="B29" s="102" t="s">
        <v>64</v>
      </c>
      <c r="C29" s="103"/>
      <c r="D29" s="103"/>
      <c r="E29" s="103"/>
      <c r="F29" s="104"/>
      <c r="G29" s="22">
        <f>(G23+G24-G25)*(1+'Fane 13. Nøgletal'!C13)</f>
        <v>6664411.3885752223</v>
      </c>
      <c r="H29" s="14" t="s">
        <v>3</v>
      </c>
      <c r="I29" s="1"/>
    </row>
    <row r="30" spans="1:9" x14ac:dyDescent="0.25">
      <c r="A30" s="1"/>
      <c r="B30" s="102" t="s">
        <v>113</v>
      </c>
      <c r="C30" s="103"/>
      <c r="D30" s="103"/>
      <c r="E30" s="103"/>
      <c r="F30" s="104"/>
      <c r="G30" s="47">
        <v>2460.96631368</v>
      </c>
      <c r="H30" s="14" t="s">
        <v>3</v>
      </c>
      <c r="I30" s="1"/>
    </row>
    <row r="31" spans="1:9" x14ac:dyDescent="0.25">
      <c r="A31" s="1"/>
      <c r="B31" s="102" t="s">
        <v>120</v>
      </c>
      <c r="C31" s="103"/>
      <c r="D31" s="103"/>
      <c r="E31" s="103"/>
      <c r="F31" s="104"/>
      <c r="G31" s="22">
        <f>(G29+G30)*'Fane 13. Nøgletal'!C25</f>
        <v>183338.98975944481</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8" t="s">
        <v>124</v>
      </c>
      <c r="C34" s="109"/>
      <c r="D34" s="109"/>
      <c r="E34" s="109"/>
      <c r="F34" s="109"/>
      <c r="G34" s="109"/>
      <c r="H34" s="110"/>
      <c r="I34" s="1"/>
    </row>
    <row r="35" spans="1:9" x14ac:dyDescent="0.25">
      <c r="A35" s="1"/>
      <c r="B35" s="102" t="s">
        <v>67</v>
      </c>
      <c r="C35" s="103"/>
      <c r="D35" s="103"/>
      <c r="E35" s="103"/>
      <c r="F35" s="104"/>
      <c r="G35" s="22">
        <f>(G29+G30-G31)*(1+'Fane 13. Nøgletal'!C13)</f>
        <v>6562632.4721840359</v>
      </c>
      <c r="H35" s="14" t="s">
        <v>3</v>
      </c>
      <c r="I35" s="1"/>
    </row>
    <row r="36" spans="1:9" x14ac:dyDescent="0.25">
      <c r="A36" s="1"/>
      <c r="B36" s="102" t="s">
        <v>129</v>
      </c>
      <c r="C36" s="103"/>
      <c r="D36" s="103"/>
      <c r="E36" s="103"/>
      <c r="F36" s="104"/>
      <c r="G36" s="22">
        <v>93265.51879117002</v>
      </c>
      <c r="H36" s="14" t="s">
        <v>3</v>
      </c>
      <c r="I36" s="1"/>
    </row>
    <row r="37" spans="1:9" x14ac:dyDescent="0.25">
      <c r="A37" s="1"/>
      <c r="B37" s="102" t="s">
        <v>125</v>
      </c>
      <c r="C37" s="103"/>
      <c r="D37" s="103"/>
      <c r="E37" s="103"/>
      <c r="F37" s="104"/>
      <c r="G37" s="22">
        <f>G35*'Fane 13. Nøgletal'!C25+G36*'Fane 13. Nøgletal'!C26</f>
        <v>181852.72266317031</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8" t="s">
        <v>159</v>
      </c>
      <c r="C40" s="109"/>
      <c r="D40" s="109"/>
      <c r="E40" s="109"/>
      <c r="F40" s="109"/>
      <c r="G40" s="109"/>
      <c r="H40" s="110"/>
      <c r="I40" s="1"/>
    </row>
    <row r="41" spans="1:9" x14ac:dyDescent="0.25">
      <c r="A41" s="1"/>
      <c r="B41" s="102" t="s">
        <v>66</v>
      </c>
      <c r="C41" s="103"/>
      <c r="D41" s="103"/>
      <c r="E41" s="103"/>
      <c r="F41" s="104"/>
      <c r="G41" s="22">
        <f>(G35+G36-G37)*(1+'Fane 13. Nøgletal'!C15)</f>
        <v>6704521.2798639443</v>
      </c>
      <c r="H41" s="14" t="s">
        <v>3</v>
      </c>
      <c r="I41" s="1"/>
    </row>
    <row r="42" spans="1:9" x14ac:dyDescent="0.25">
      <c r="A42" s="1"/>
      <c r="B42" s="102" t="s">
        <v>169</v>
      </c>
      <c r="C42" s="103"/>
      <c r="D42" s="103"/>
      <c r="E42" s="103"/>
      <c r="F42" s="104"/>
      <c r="G42" s="9">
        <v>5349.4671916800016</v>
      </c>
      <c r="H42" s="14" t="s">
        <v>3</v>
      </c>
      <c r="I42" s="1"/>
    </row>
    <row r="43" spans="1:9" x14ac:dyDescent="0.25">
      <c r="A43" s="1"/>
      <c r="B43" s="102" t="s">
        <v>65</v>
      </c>
      <c r="C43" s="103"/>
      <c r="D43" s="103"/>
      <c r="E43" s="103"/>
      <c r="F43" s="104"/>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8" t="s">
        <v>160</v>
      </c>
      <c r="C46" s="109"/>
      <c r="D46" s="109"/>
      <c r="E46" s="109"/>
      <c r="F46" s="109"/>
      <c r="G46" s="109"/>
      <c r="H46" s="110"/>
      <c r="I46" s="1"/>
    </row>
    <row r="47" spans="1:9" x14ac:dyDescent="0.25">
      <c r="A47" s="1"/>
      <c r="B47" s="102" t="s">
        <v>114</v>
      </c>
      <c r="C47" s="103"/>
      <c r="D47" s="103"/>
      <c r="E47" s="103"/>
      <c r="F47" s="104"/>
      <c r="G47" s="22">
        <f>(G41+G42-G43)*(1+'Fane 13. Nøgletal'!C15)</f>
        <v>6948742.145650805</v>
      </c>
      <c r="H47" s="14" t="s">
        <v>3</v>
      </c>
      <c r="I47" s="1"/>
    </row>
    <row r="48" spans="1:9" x14ac:dyDescent="0.25">
      <c r="A48" s="1"/>
      <c r="B48" s="102" t="s">
        <v>210</v>
      </c>
      <c r="C48" s="103"/>
      <c r="D48" s="103"/>
      <c r="E48" s="103"/>
      <c r="F48" s="104"/>
      <c r="G48" s="22">
        <f>('Fane 2.1. Økonomisk ramme 2024'!C10+'Fane 2.1. Økonomisk ramme 2024'!C12+'Fane 2.1. Økonomisk ramme 2024'!C14)*(1+'Fane 13. Nøgletal'!C16)</f>
        <v>141162.15506220801</v>
      </c>
      <c r="H48" s="14" t="s">
        <v>3</v>
      </c>
      <c r="I48" s="1"/>
    </row>
    <row r="49" spans="1:9" x14ac:dyDescent="0.25">
      <c r="A49" s="1"/>
      <c r="B49" s="102" t="s">
        <v>211</v>
      </c>
      <c r="C49" s="103"/>
      <c r="D49" s="103"/>
      <c r="E49" s="103"/>
      <c r="F49" s="104"/>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8" t="s">
        <v>130</v>
      </c>
      <c r="C52" s="109"/>
      <c r="D52" s="109"/>
      <c r="E52" s="109"/>
      <c r="F52" s="109"/>
      <c r="G52" s="109"/>
      <c r="H52" s="110"/>
      <c r="I52" s="1"/>
    </row>
    <row r="53" spans="1:9" x14ac:dyDescent="0.25">
      <c r="A53" s="1"/>
      <c r="B53" s="102" t="s">
        <v>131</v>
      </c>
      <c r="C53" s="103"/>
      <c r="D53" s="103"/>
      <c r="E53" s="103"/>
      <c r="F53" s="104"/>
      <c r="G53" s="22">
        <f>(G47+G48-G49)*(1+'Fane 13. Nøgletal'!C16)</f>
        <v>7662768.5682106242</v>
      </c>
      <c r="H53" s="14" t="s">
        <v>3</v>
      </c>
      <c r="I53" s="1"/>
    </row>
    <row r="54" spans="1:9" x14ac:dyDescent="0.25">
      <c r="A54" s="1"/>
      <c r="B54" s="102" t="s">
        <v>132</v>
      </c>
      <c r="C54" s="103"/>
      <c r="D54" s="103"/>
      <c r="E54" s="103"/>
      <c r="F54" s="104"/>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8" t="s">
        <v>147</v>
      </c>
      <c r="C57" s="109"/>
      <c r="D57" s="109"/>
      <c r="E57" s="109"/>
      <c r="F57" s="109"/>
      <c r="G57" s="109"/>
      <c r="H57" s="110"/>
      <c r="I57" s="1"/>
    </row>
    <row r="58" spans="1:9" x14ac:dyDescent="0.25">
      <c r="A58" s="1"/>
      <c r="B58" s="102" t="s">
        <v>148</v>
      </c>
      <c r="C58" s="103"/>
      <c r="D58" s="103"/>
      <c r="E58" s="103"/>
      <c r="F58" s="104"/>
      <c r="G58" s="22">
        <f>(G53-G54)*(1+'Fane 13. Nøgletal'!C16)</f>
        <v>8281920.2685220428</v>
      </c>
      <c r="H58" s="14" t="s">
        <v>3</v>
      </c>
      <c r="I58" s="1"/>
    </row>
    <row r="59" spans="1:9" x14ac:dyDescent="0.25">
      <c r="A59" s="1"/>
      <c r="B59" s="102" t="s">
        <v>149</v>
      </c>
      <c r="C59" s="103"/>
      <c r="D59" s="103"/>
      <c r="E59" s="103"/>
      <c r="F59" s="104"/>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8" t="s">
        <v>223</v>
      </c>
      <c r="C62" s="109"/>
      <c r="D62" s="109"/>
      <c r="E62" s="109"/>
      <c r="F62" s="109"/>
      <c r="G62" s="109"/>
      <c r="H62" s="110"/>
      <c r="I62" s="1"/>
    </row>
    <row r="63" spans="1:9" x14ac:dyDescent="0.25">
      <c r="A63" s="1"/>
      <c r="B63" s="102" t="s">
        <v>224</v>
      </c>
      <c r="C63" s="103"/>
      <c r="D63" s="103"/>
      <c r="E63" s="103"/>
      <c r="F63" s="104"/>
      <c r="G63" s="22">
        <f>(G58-G59)*(1+'Fane 13. Nøgletal'!C16)</f>
        <v>8951099.4262186233</v>
      </c>
      <c r="H63" s="14" t="s">
        <v>3</v>
      </c>
      <c r="I63" s="1"/>
    </row>
    <row r="64" spans="1:9" x14ac:dyDescent="0.25">
      <c r="A64" s="1"/>
      <c r="B64" s="102" t="s">
        <v>225</v>
      </c>
      <c r="C64" s="103"/>
      <c r="D64" s="103"/>
      <c r="E64" s="103"/>
      <c r="F64" s="104"/>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pH69ZGFJoQYoXNAyIm8/XO7RShfb51eK2fBqdeZkUh2V8G7hzCS17mtTyvouCXCys+6Rn2VdEVSdejV5JwMcUw==" saltValue="JekKwdZqvILv8oQszjVNB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77</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8" t="s">
        <v>9</v>
      </c>
      <c r="C8" s="109"/>
      <c r="D8" s="109"/>
      <c r="E8" s="109"/>
      <c r="F8" s="109"/>
      <c r="G8" s="110"/>
      <c r="H8" s="1"/>
    </row>
    <row r="9" spans="1:8" x14ac:dyDescent="0.25">
      <c r="A9" s="1"/>
      <c r="B9" s="69" t="s">
        <v>150</v>
      </c>
      <c r="C9" s="70"/>
      <c r="D9" s="70"/>
      <c r="E9" s="70"/>
      <c r="F9" s="71"/>
      <c r="G9" s="64">
        <v>9.3754325339328974E-3</v>
      </c>
      <c r="H9" s="1"/>
    </row>
    <row r="10" spans="1:8" x14ac:dyDescent="0.25">
      <c r="A10" s="1"/>
      <c r="B10" s="52"/>
      <c r="C10" s="53"/>
      <c r="D10" s="53"/>
      <c r="E10" s="53"/>
      <c r="F10" s="53"/>
      <c r="G10" s="19"/>
      <c r="H10" s="1"/>
    </row>
    <row r="11" spans="1:8" ht="15" customHeight="1" x14ac:dyDescent="0.25">
      <c r="A11" s="1"/>
      <c r="B11" s="114" t="s">
        <v>236</v>
      </c>
      <c r="C11" s="115"/>
      <c r="D11" s="115"/>
      <c r="E11" s="115"/>
      <c r="F11" s="115"/>
      <c r="G11" s="116"/>
      <c r="H11" s="1"/>
    </row>
    <row r="12" spans="1:8" ht="13.5" customHeight="1" x14ac:dyDescent="0.25">
      <c r="A12" s="1"/>
      <c r="B12" s="117"/>
      <c r="C12" s="118"/>
      <c r="D12" s="118"/>
      <c r="E12" s="118"/>
      <c r="F12" s="118"/>
      <c r="G12" s="119"/>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ovK5soQUgfmW3L+4hEzdvsmxWjy/Ly1jpWQKeVU+oQ5wVr0T16JSgcTPIzCG5Z5lmgWBHQZfN4POlEBHMA85EA==" saltValue="3AY+zpgyyofQLS861NKYNA=="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2023-11-02T17:59:04Z</dcterms:modified>
</cp:coreProperties>
</file>