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Ikast Vandforsyning A.m.b.A (V10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C24" i="23" l="1"/>
  <c r="C24" i="22"/>
  <c r="C29" i="15"/>
  <c r="C31" i="2"/>
  <c r="G26" i="36" l="1"/>
  <c r="E41" i="32" l="1"/>
  <c r="C13" i="19" l="1"/>
  <c r="E16" i="27" l="1"/>
  <c r="E43" i="32" l="1"/>
  <c r="C23" i="23" l="1"/>
  <c r="C23" i="22"/>
  <c r="E33" i="32"/>
  <c r="G31" i="36" l="1"/>
  <c r="G31" i="30" l="1"/>
  <c r="G7" i="30"/>
  <c r="G11" i="30" s="1"/>
  <c r="C11" i="2"/>
  <c r="C11" i="15" s="1"/>
  <c r="G38" i="36" l="1"/>
  <c r="G38" i="30"/>
  <c r="C10" i="2" l="1"/>
  <c r="C10" i="15" s="1"/>
  <c r="E10" i="11" l="1"/>
  <c r="E17" i="32" l="1"/>
  <c r="E9" i="32" l="1"/>
  <c r="E37" i="32" s="1"/>
  <c r="C28" i="15" l="1"/>
  <c r="C30" i="2"/>
  <c r="E29" i="21"/>
  <c r="E30" i="21" s="1"/>
  <c r="G53" i="36" s="1"/>
  <c r="C29" i="21"/>
  <c r="C30" i="21" s="1"/>
  <c r="G54" i="30" s="1"/>
  <c r="E23" i="21"/>
  <c r="E24" i="21" s="1"/>
  <c r="G46" i="36" s="1"/>
  <c r="C23" i="21"/>
  <c r="C24" i="21" s="1"/>
  <c r="G46" i="30" s="1"/>
  <c r="E17" i="21"/>
  <c r="E18" i="21" s="1"/>
  <c r="G40" i="36" s="1"/>
  <c r="C17" i="21"/>
  <c r="C18" i="21" s="1"/>
  <c r="G40" i="30" s="1"/>
  <c r="C15" i="15" l="1"/>
  <c r="C14" i="15"/>
  <c r="C9" i="22"/>
  <c r="C10" i="22"/>
  <c r="C10" i="23"/>
  <c r="C9" i="23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37" i="39"/>
  <c r="C36" i="39"/>
  <c r="E21" i="39"/>
  <c r="E20" i="39"/>
  <c r="E37" i="39"/>
  <c r="E36" i="39"/>
  <c r="E14" i="39" l="1"/>
  <c r="C27" i="2" s="1"/>
  <c r="C22" i="39"/>
  <c r="C24" i="15" s="1"/>
  <c r="E22" i="39"/>
  <c r="C25" i="15" s="1"/>
  <c r="E38" i="39"/>
  <c r="C20" i="23" s="1"/>
  <c r="C38" i="39"/>
  <c r="C19" i="23" s="1"/>
  <c r="E30" i="39"/>
  <c r="C20" i="22" s="1"/>
  <c r="C30" i="39"/>
  <c r="C19" i="22" s="1"/>
  <c r="C14" i="39"/>
  <c r="C26" i="2" s="1"/>
  <c r="C21" i="23" l="1"/>
  <c r="C21" i="22"/>
  <c r="C26" i="15"/>
  <c r="C28" i="2"/>
  <c r="G7" i="36" l="1"/>
  <c r="G11" i="36" l="1"/>
  <c r="G13" i="30" l="1"/>
  <c r="G17" i="30" s="1"/>
  <c r="G13" i="36"/>
  <c r="G17" i="36" s="1"/>
  <c r="G20" i="30" l="1"/>
  <c r="G24" i="30" s="1"/>
  <c r="G30" i="30" s="1"/>
  <c r="G20" i="36"/>
  <c r="G24" i="36" s="1"/>
  <c r="G30" i="36" s="1"/>
  <c r="E19" i="27" l="1"/>
  <c r="E25" i="32" l="1"/>
  <c r="F11" i="11" l="1"/>
  <c r="C10" i="37" s="1"/>
  <c r="C11" i="37" s="1"/>
  <c r="C12" i="37" s="1"/>
  <c r="C12" i="2" s="1"/>
  <c r="G11" i="11"/>
  <c r="E11" i="21" l="1"/>
  <c r="C11" i="21"/>
  <c r="E11" i="29"/>
  <c r="C11" i="29"/>
  <c r="C14" i="19"/>
  <c r="C12" i="29" l="1"/>
  <c r="C16" i="2" s="1"/>
  <c r="E12" i="29"/>
  <c r="C17" i="2" s="1"/>
  <c r="C17" i="23"/>
  <c r="C17" i="22"/>
  <c r="C22" i="15"/>
  <c r="C24" i="2"/>
  <c r="E12" i="21"/>
  <c r="C15" i="2" s="1"/>
  <c r="C12" i="21"/>
  <c r="C14" i="2" s="1"/>
  <c r="G32" i="30" s="1"/>
  <c r="G37" i="30" l="1"/>
  <c r="G33" i="30"/>
  <c r="C20" i="2" s="1"/>
  <c r="C12" i="15"/>
  <c r="G26" i="30"/>
  <c r="E18" i="27" s="1"/>
  <c r="G39" i="30" l="1"/>
  <c r="E11" i="11"/>
  <c r="E10" i="37" s="1"/>
  <c r="E11" i="37" s="1"/>
  <c r="E12" i="37" s="1"/>
  <c r="C13" i="2" s="1"/>
  <c r="G32" i="36" s="1"/>
  <c r="G33" i="36" s="1"/>
  <c r="C13" i="15" l="1"/>
  <c r="C21" i="2"/>
  <c r="G41" i="30"/>
  <c r="G45" i="30" l="1"/>
  <c r="G47" i="30" s="1"/>
  <c r="C13" i="22" s="1"/>
  <c r="C18" i="15"/>
  <c r="G39" i="36"/>
  <c r="G37" i="36"/>
  <c r="G41" i="36" l="1"/>
  <c r="C19" i="15" s="1"/>
  <c r="G53" i="30"/>
  <c r="G55" i="30" s="1"/>
  <c r="C13" i="23" s="1"/>
  <c r="G45" i="36" l="1"/>
  <c r="G47" i="36" s="1"/>
  <c r="E17" i="27"/>
  <c r="E20" i="27" s="1"/>
  <c r="E33" i="27" s="1"/>
  <c r="G52" i="36" l="1"/>
  <c r="G54" i="36" s="1"/>
  <c r="C14" i="23" s="1"/>
  <c r="C14" i="22"/>
  <c r="C9" i="2"/>
  <c r="C18" i="2" l="1"/>
  <c r="C19" i="2" s="1"/>
  <c r="C22" i="2" l="1"/>
  <c r="C9" i="15" l="1"/>
  <c r="C16" i="15" s="1"/>
  <c r="C17" i="15" s="1"/>
  <c r="C20" i="15" s="1"/>
  <c r="C8" i="22" l="1"/>
  <c r="C11" i="22" s="1"/>
  <c r="C12" i="22" l="1"/>
  <c r="C15" i="22" l="1"/>
  <c r="C8" i="23" l="1"/>
  <c r="C11" i="23" s="1"/>
  <c r="C12" i="23" l="1"/>
  <c r="C15" i="23" s="1"/>
</calcChain>
</file>

<file path=xl/sharedStrings.xml><?xml version="1.0" encoding="utf-8"?>
<sst xmlns="http://schemas.openxmlformats.org/spreadsheetml/2006/main" count="615" uniqueCount="253">
  <si>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</si>
  <si>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</si>
  <si>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</si>
  <si>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</si>
  <si>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</si>
  <si>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</si>
  <si>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</si>
  <si>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</si>
  <si>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</si>
  <si>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</si>
  <si>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</si>
  <si>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</si>
  <si>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</si>
  <si>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</si>
  <si>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</si>
  <si>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</si>
  <si>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</si>
  <si>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</si>
  <si>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</si>
  <si>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</si>
  <si>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</si>
  <si>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</si>
  <si>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</si>
  <si>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</si>
  <si>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</si>
  <si>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</si>
  <si>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</si>
  <si>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</si>
  <si>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</si>
  <si>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</si>
  <si>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</si>
  <si>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</si>
  <si>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</si>
  <si>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</si>
  <si>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</si>
  <si>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</si>
  <si>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</si>
  <si>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</si>
  <si>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</si>
  <si>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</si>
  <si>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</si>
  <si>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</si>
  <si>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</si>
  <si>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</si>
  <si>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</si>
  <si>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</si>
  <si>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</si>
  <si>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</si>
  <si>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</si>
  <si>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</si>
  <si>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</si>
  <si>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</si>
  <si>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</si>
  <si>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</si>
  <si>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</si>
  <si>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</si>
  <si>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</si>
  <si>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</si>
  <si>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</si>
  <si>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</si>
  <si>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</si>
  <si>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</si>
  <si>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</si>
  <si>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</si>
  <si>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</si>
  <si>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</si>
  <si>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</si>
  <si>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</si>
  <si>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</si>
  <si>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</si>
  <si>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</si>
  <si>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</si>
  <si>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</si>
  <si>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</si>
  <si>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</si>
  <si>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</si>
  <si>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</si>
  <si>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</si>
  <si>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</si>
  <si>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</si>
  <si>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</si>
  <si>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</si>
  <si>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</si>
  <si>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</si>
  <si>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</si>
  <si>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</si>
  <si>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</si>
  <si>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</si>
  <si>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</si>
  <si>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</si>
  <si>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</si>
  <si>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</si>
  <si>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</si>
  <si>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</si>
  <si>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</si>
  <si>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</si>
  <si>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</si>
  <si>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</si>
  <si>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</si>
  <si>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</si>
  <si>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</si>
  <si>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</si>
  <si>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</si>
  <si>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</si>
  <si>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</si>
  <si>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</si>
  <si>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</si>
  <si>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</si>
  <si>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</si>
  <si>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</si>
  <si>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</si>
  <si>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</si>
  <si>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</si>
  <si>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</si>
  <si>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</si>
  <si>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</si>
  <si>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</si>
  <si>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</si>
  <si>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</si>
  <si>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</si>
  <si>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</si>
  <si>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</si>
  <si>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</si>
  <si>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</si>
  <si>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</si>
  <si>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</si>
  <si>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</si>
  <si>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</si>
  <si>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</si>
  <si>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</si>
  <si>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</si>
  <si>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</si>
  <si>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</si>
  <si>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</si>
  <si>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</si>
  <si>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</si>
  <si>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</si>
  <si>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</si>
  <si>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</si>
  <si>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</si>
  <si>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</si>
  <si>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</si>
  <si>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</si>
  <si>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</si>
  <si>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</si>
  <si>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</si>
  <si>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</si>
  <si>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</si>
  <si>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</si>
  <si>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</si>
  <si>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</si>
  <si>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</si>
  <si>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</si>
  <si>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</si>
  <si>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</si>
  <si>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</si>
  <si>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</si>
  <si>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</si>
  <si>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</si>
  <si>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</si>
  <si>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</si>
  <si>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</si>
  <si>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</si>
  <si>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</si>
  <si>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</si>
  <si>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 xml:space="preserve"> - Heraf nye omkostninger i ØR21 - Drift</t>
  </si>
  <si>
    <t xml:space="preserve"> - Heraf nye omkostninger i ØR21- Anlæg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</si>
  <si>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</si>
  <si>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</si>
  <si>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</si>
  <si>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2024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</si>
  <si>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</si>
  <si>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</si>
  <si>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</si>
  <si>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</si>
  <si>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</si>
  <si>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</si>
  <si>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</si>
  <si>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Engangstillæg i alt i 2019-prisniveau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</si>
  <si>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</si>
  <si>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</si>
  <si>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</si>
  <si>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</si>
  <si>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</si>
  <si>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</si>
  <si>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</si>
  <si>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Samlet økonomisk ramme for 2021</t>
  </si>
  <si>
    <t>Vejledende økonomisk ramme for 2024</t>
  </si>
  <si>
    <t>Omkostninger i ØR2020</t>
  </si>
  <si>
    <t>Kontrol af den økonomiske ramme for 2019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</si>
  <si>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</si>
  <si>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</si>
  <si>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</si>
  <si>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</si>
  <si>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</si>
  <si>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</si>
  <si>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</si>
  <si>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Fane 7: Kontrol med overholdelse af den økonomiske ramme for 2019</t>
  </si>
  <si>
    <t>Tilknyttet virksomhed under hovedvirksomheden i alt (2019-prisniveau)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</si>
  <si>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</si>
  <si>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</si>
  <si>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</si>
  <si>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</si>
  <si>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</si>
  <si>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</si>
  <si>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</si>
  <si>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</si>
  <si>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</si>
  <si>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</si>
  <si>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</si>
  <si>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</si>
  <si>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</si>
  <si>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</si>
  <si>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</si>
  <si>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 xml:space="preserve"> - Heraf nye omkostninger i ØR20 - Drift</t>
  </si>
  <si>
    <t xml:space="preserve"> - Heraf nye omkostninger i ØR20- Anlæg</t>
  </si>
  <si>
    <t>Generelt effektiviseringskrav til anlægsomkostningerne i ØR22</t>
  </si>
  <si>
    <t>Til indregning i den økonomiske ramme for 2021-2022</t>
  </si>
  <si>
    <t>Tillæg/fradrag i den økonomiske ramme for 2021-2022</t>
  </si>
  <si>
    <t xml:space="preserve">Note: Denne opgørelse er taget fra jeres afgørelse for den økonomiske ramme for 2020. I kan derfor ikke komme med høringssvar til denne opgørelse. </t>
  </si>
  <si>
    <t>Tillæg/fradrag i den økonomiske ramme for 2023-2026</t>
  </si>
  <si>
    <t>Kontrol med overholdelse af den økonomiske ramme for 2019</t>
  </si>
  <si>
    <t>Indtægtsramme i den økonomiske ramme for 2019</t>
  </si>
  <si>
    <t>Faktiske indtægter i 2019</t>
  </si>
  <si>
    <t>Kontrol med overholdelse af økonomiske rammer</t>
  </si>
  <si>
    <t>Kontrol med overholdelse af den økonomiske ramme</t>
  </si>
  <si>
    <t>Til statusmeddelelse for 2021 og 2022</t>
  </si>
  <si>
    <t>Samlet økonomisk ramme for 2022</t>
  </si>
  <si>
    <t>Difference (2019-prisniveau)</t>
  </si>
  <si>
    <t>Difference (2018-prisniveau)</t>
  </si>
  <si>
    <t>Difference (2017-prisniveau)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</si>
  <si>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</si>
  <si>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</si>
  <si>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</si>
  <si>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</si>
  <si>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</si>
  <si>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</si>
  <si>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</si>
  <si>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</si>
  <si>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</si>
  <si>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</si>
  <si>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Historisk over- eller underdækning</t>
  </si>
  <si>
    <t>Tillæg/fradrag for historisk over- eller underdækning</t>
  </si>
  <si>
    <t xml:space="preserve">Tillæg/fradrag for korrektion og kontrol 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</si>
  <si>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</si>
  <si>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</si>
  <si>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</si>
  <si>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</si>
  <si>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</si>
  <si>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Ingen engangstillæg</t>
  </si>
  <si>
    <t>Ingen tilknyttet virksomhed</t>
  </si>
  <si>
    <t>Ingen bortfald eller nedsættelse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</si>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</sst>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15" fillId="8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2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25">
      <c r="A8" s="1"/>
      <c r="B8" s="1"/>
      <c r="C8" s="4"/>
      <c r="D8" s="63" t="s">
        <v>226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5" t="s">
        <v>186</v>
      </c>
      <c r="E13" s="56"/>
      <c r="F13" s="56"/>
      <c r="G13" s="57"/>
      <c r="H13" s="1"/>
      <c r="I13" s="1"/>
    </row>
    <row r="14" spans="1:9" x14ac:dyDescent="0.25">
      <c r="A14" s="1"/>
      <c r="B14" s="1"/>
      <c r="C14" s="6" t="s">
        <v>15</v>
      </c>
      <c r="D14" s="55" t="s">
        <v>227</v>
      </c>
      <c r="E14" s="56"/>
      <c r="F14" s="56"/>
      <c r="G14" s="57"/>
      <c r="H14" s="1"/>
      <c r="I14" s="1"/>
    </row>
    <row r="15" spans="1:9" x14ac:dyDescent="0.25">
      <c r="A15" s="1"/>
      <c r="B15" s="1"/>
      <c r="C15" s="6" t="s">
        <v>41</v>
      </c>
      <c r="D15" s="55" t="s">
        <v>97</v>
      </c>
      <c r="E15" s="56"/>
      <c r="F15" s="56"/>
      <c r="G15" s="57"/>
      <c r="H15" s="1"/>
      <c r="I15" s="1"/>
    </row>
    <row r="16" spans="1:9" x14ac:dyDescent="0.25">
      <c r="A16" s="1"/>
      <c r="B16" s="1"/>
      <c r="C16" s="6" t="s">
        <v>42</v>
      </c>
      <c r="D16" s="55" t="s">
        <v>187</v>
      </c>
      <c r="E16" s="56"/>
      <c r="F16" s="56"/>
      <c r="G16" s="57"/>
      <c r="H16" s="1"/>
      <c r="I16" s="1"/>
    </row>
    <row r="17" spans="1:9" x14ac:dyDescent="0.25">
      <c r="A17" s="1"/>
      <c r="B17" s="1"/>
      <c r="C17" s="6" t="s">
        <v>157</v>
      </c>
      <c r="D17" s="55" t="s">
        <v>188</v>
      </c>
      <c r="E17" s="56"/>
      <c r="F17" s="56"/>
      <c r="G17" s="57"/>
      <c r="H17" s="1"/>
      <c r="I17" s="1"/>
    </row>
    <row r="18" spans="1:9" x14ac:dyDescent="0.25">
      <c r="A18" s="1"/>
      <c r="B18" s="1"/>
      <c r="C18" s="6" t="s">
        <v>143</v>
      </c>
      <c r="D18" s="64" t="s">
        <v>117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144</v>
      </c>
      <c r="D19" s="64" t="s">
        <v>118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145</v>
      </c>
      <c r="D21" s="70" t="s">
        <v>12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101</v>
      </c>
      <c r="D22" s="59" t="s">
        <v>189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43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237</v>
      </c>
      <c r="D24" s="59" t="s">
        <v>102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238</v>
      </c>
      <c r="D25" s="59" t="s">
        <v>103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239</v>
      </c>
      <c r="D26" s="59" t="s">
        <v>160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146</v>
      </c>
      <c r="D27" s="59" t="s">
        <v>44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130</v>
      </c>
      <c r="D28" s="67" t="s">
        <v>131</v>
      </c>
      <c r="E28" s="68"/>
      <c r="F28" s="68"/>
      <c r="G28" s="6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U3UT9tilvGBCstqk3CGgkvkBv99+cJzniJ01g0uRNMSz14o9MzE5lqtCwOfxKBy0eNwSFKvj6s+Zv4Ol0y2MQ==" saltValue="7Sa3aWPsFV69uUeSbvSJV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142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1" t="s">
        <v>174</v>
      </c>
      <c r="C8" s="102"/>
      <c r="D8" s="103"/>
      <c r="E8" s="1"/>
      <c r="F8" s="1"/>
    </row>
    <row r="9" spans="1:6" ht="15" customHeight="1" x14ac:dyDescent="0.25">
      <c r="A9" s="1"/>
      <c r="B9" s="46" t="s">
        <v>35</v>
      </c>
      <c r="C9" s="11" t="s">
        <v>175</v>
      </c>
      <c r="D9" s="11"/>
      <c r="E9" s="1"/>
      <c r="F9" s="1"/>
    </row>
    <row r="10" spans="1:6" x14ac:dyDescent="0.25">
      <c r="A10" s="1"/>
      <c r="B10" s="52" t="s">
        <v>246</v>
      </c>
      <c r="C10" s="9">
        <v>5711358</v>
      </c>
      <c r="D10" s="14" t="s">
        <v>3</v>
      </c>
      <c r="E10" s="1"/>
      <c r="F10" s="1"/>
    </row>
    <row r="11" spans="1:6" x14ac:dyDescent="0.25">
      <c r="A11" s="1"/>
      <c r="B11" s="52" t="s">
        <v>247</v>
      </c>
      <c r="C11" s="9">
        <v>53604</v>
      </c>
      <c r="D11" s="14" t="s">
        <v>3</v>
      </c>
      <c r="E11" s="1"/>
      <c r="F11" s="1"/>
    </row>
    <row r="12" spans="1:6" x14ac:dyDescent="0.25">
      <c r="A12" s="1"/>
      <c r="B12" s="52" t="s">
        <v>248</v>
      </c>
      <c r="C12" s="9">
        <v>46804</v>
      </c>
      <c r="D12" s="14" t="s">
        <v>3</v>
      </c>
      <c r="E12" s="1"/>
      <c r="F12" s="1"/>
    </row>
    <row r="13" spans="1:6" x14ac:dyDescent="0.25">
      <c r="A13" s="1"/>
      <c r="B13" s="40" t="s">
        <v>176</v>
      </c>
      <c r="C13" s="12">
        <f>SUM(C10:C12)</f>
        <v>5811766</v>
      </c>
      <c r="D13" s="13" t="s">
        <v>3</v>
      </c>
      <c r="E13" s="1"/>
      <c r="F13" s="1"/>
    </row>
    <row r="14" spans="1:6" x14ac:dyDescent="0.25">
      <c r="A14" s="1"/>
      <c r="B14" s="40" t="s">
        <v>177</v>
      </c>
      <c r="C14" s="12">
        <f>C13*(1+'Fane 12. Nøgletal'!C13)^2</f>
        <v>5954438.1136514405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F9nh2/+adS+AgNDZCiPipyWJq5D8bxG6n1ooMcbCM73z/JqUzNfOOeEEH6Emk0xBmB4dYKwRBP3RfXmpQGaAxA==" saltValue="CIzEp/wEnhkxpTLomNWHc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197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101" t="s">
        <v>39</v>
      </c>
      <c r="C6" s="102"/>
      <c r="D6" s="102"/>
      <c r="E6" s="102"/>
      <c r="F6" s="103"/>
      <c r="G6" s="1"/>
    </row>
    <row r="7" spans="1:7" ht="15" customHeight="1" x14ac:dyDescent="0.25">
      <c r="A7" s="1"/>
      <c r="B7" s="104" t="s">
        <v>37</v>
      </c>
      <c r="C7" s="105"/>
      <c r="D7" s="106"/>
      <c r="E7" s="9">
        <v>-470891.36</v>
      </c>
      <c r="F7" s="14" t="s">
        <v>3</v>
      </c>
      <c r="G7" s="1"/>
    </row>
    <row r="8" spans="1:7" ht="15" customHeight="1" x14ac:dyDescent="0.25">
      <c r="A8" s="1"/>
      <c r="B8" s="104" t="s">
        <v>38</v>
      </c>
      <c r="C8" s="105"/>
      <c r="D8" s="106"/>
      <c r="E8" s="9">
        <v>1598619.4043212328</v>
      </c>
      <c r="F8" s="14" t="s">
        <v>3</v>
      </c>
      <c r="G8" s="1"/>
    </row>
    <row r="9" spans="1:7" ht="15" customHeight="1" x14ac:dyDescent="0.25">
      <c r="A9" s="1"/>
      <c r="B9" s="90" t="s">
        <v>133</v>
      </c>
      <c r="C9" s="91"/>
      <c r="D9" s="114"/>
      <c r="E9" s="10">
        <f>SUM(E7:E8)</f>
        <v>1127728.0443212329</v>
      </c>
      <c r="F9" s="17" t="s">
        <v>3</v>
      </c>
      <c r="G9" s="1"/>
    </row>
    <row r="10" spans="1:7" ht="15" customHeight="1" x14ac:dyDescent="0.25">
      <c r="A10" s="1"/>
      <c r="B10" s="40"/>
      <c r="C10" s="41"/>
      <c r="D10" s="41"/>
      <c r="E10" s="41"/>
      <c r="F10" s="20"/>
      <c r="G10" s="1"/>
    </row>
    <row r="11" spans="1:7" ht="28.5" customHeight="1" x14ac:dyDescent="0.25">
      <c r="A11" s="1"/>
      <c r="B11" s="75" t="s">
        <v>134</v>
      </c>
      <c r="C11" s="76"/>
      <c r="D11" s="76"/>
      <c r="E11" s="76"/>
      <c r="F11" s="77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01" t="s">
        <v>119</v>
      </c>
      <c r="C13" s="102"/>
      <c r="D13" s="102"/>
      <c r="E13" s="102"/>
      <c r="F13" s="103"/>
      <c r="G13" s="1"/>
    </row>
    <row r="14" spans="1:7" x14ac:dyDescent="0.25">
      <c r="A14" s="1"/>
      <c r="B14" s="104" t="s">
        <v>120</v>
      </c>
      <c r="C14" s="105"/>
      <c r="D14" s="106"/>
      <c r="E14" s="9">
        <v>17047741.194340535</v>
      </c>
      <c r="F14" s="14" t="s">
        <v>3</v>
      </c>
      <c r="G14" s="1"/>
    </row>
    <row r="15" spans="1:7" x14ac:dyDescent="0.25">
      <c r="A15" s="1"/>
      <c r="B15" s="104" t="s">
        <v>121</v>
      </c>
      <c r="C15" s="105"/>
      <c r="D15" s="106"/>
      <c r="E15" s="9">
        <v>14578585</v>
      </c>
      <c r="F15" s="14" t="s">
        <v>3</v>
      </c>
      <c r="G15" s="1"/>
    </row>
    <row r="16" spans="1:7" x14ac:dyDescent="0.25">
      <c r="A16" s="1"/>
      <c r="B16" s="104" t="s">
        <v>36</v>
      </c>
      <c r="C16" s="105"/>
      <c r="D16" s="106"/>
      <c r="E16" s="9">
        <v>0</v>
      </c>
      <c r="F16" s="14" t="s">
        <v>3</v>
      </c>
      <c r="G16" s="1"/>
    </row>
    <row r="17" spans="1:7" x14ac:dyDescent="0.25">
      <c r="A17" s="1"/>
      <c r="B17" s="90" t="s">
        <v>230</v>
      </c>
      <c r="C17" s="91"/>
      <c r="D17" s="114"/>
      <c r="E17" s="10">
        <f>E14-(E15-E16)</f>
        <v>2469156.1943405345</v>
      </c>
      <c r="F17" s="17" t="s">
        <v>3</v>
      </c>
      <c r="G17" s="1"/>
    </row>
    <row r="18" spans="1:7" x14ac:dyDescent="0.25">
      <c r="A18" s="1"/>
      <c r="B18" s="40"/>
      <c r="C18" s="41"/>
      <c r="D18" s="41"/>
      <c r="E18" s="41"/>
      <c r="F18" s="20"/>
      <c r="G18" s="1"/>
    </row>
    <row r="19" spans="1:7" ht="27.75" customHeight="1" x14ac:dyDescent="0.25">
      <c r="A19" s="1"/>
      <c r="B19" s="75" t="s">
        <v>135</v>
      </c>
      <c r="C19" s="76"/>
      <c r="D19" s="76"/>
      <c r="E19" s="76"/>
      <c r="F19" s="77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01" t="s">
        <v>50</v>
      </c>
      <c r="C21" s="102"/>
      <c r="D21" s="102"/>
      <c r="E21" s="102"/>
      <c r="F21" s="103"/>
      <c r="G21" s="1"/>
    </row>
    <row r="22" spans="1:7" x14ac:dyDescent="0.25">
      <c r="A22" s="1"/>
      <c r="B22" s="104" t="s">
        <v>51</v>
      </c>
      <c r="C22" s="105"/>
      <c r="D22" s="106"/>
      <c r="E22" s="9">
        <v>15284808.35054959</v>
      </c>
      <c r="F22" s="14" t="s">
        <v>3</v>
      </c>
      <c r="G22" s="1"/>
    </row>
    <row r="23" spans="1:7" x14ac:dyDescent="0.25">
      <c r="A23" s="1"/>
      <c r="B23" s="104" t="s">
        <v>52</v>
      </c>
      <c r="C23" s="105"/>
      <c r="D23" s="106"/>
      <c r="E23" s="9">
        <v>15702631</v>
      </c>
      <c r="F23" s="14" t="s">
        <v>3</v>
      </c>
      <c r="G23" s="1"/>
    </row>
    <row r="24" spans="1:7" x14ac:dyDescent="0.25">
      <c r="A24" s="1"/>
      <c r="B24" s="104" t="s">
        <v>36</v>
      </c>
      <c r="C24" s="105"/>
      <c r="D24" s="106"/>
      <c r="E24" s="9">
        <v>0</v>
      </c>
      <c r="F24" s="14" t="s">
        <v>3</v>
      </c>
      <c r="G24" s="1"/>
    </row>
    <row r="25" spans="1:7" x14ac:dyDescent="0.25">
      <c r="A25" s="1"/>
      <c r="B25" s="90" t="s">
        <v>229</v>
      </c>
      <c r="C25" s="91"/>
      <c r="D25" s="114"/>
      <c r="E25" s="10">
        <f>E22-(E23-E24)</f>
        <v>-417822.64945041016</v>
      </c>
      <c r="F25" s="17" t="s">
        <v>3</v>
      </c>
      <c r="G25" s="1"/>
    </row>
    <row r="26" spans="1:7" x14ac:dyDescent="0.25">
      <c r="A26" s="1"/>
      <c r="B26" s="40"/>
      <c r="C26" s="41"/>
      <c r="D26" s="41"/>
      <c r="E26" s="41"/>
      <c r="F26" s="20"/>
      <c r="G26" s="1"/>
    </row>
    <row r="27" spans="1:7" ht="28.5" customHeight="1" x14ac:dyDescent="0.25">
      <c r="A27" s="1"/>
      <c r="B27" s="75" t="s">
        <v>219</v>
      </c>
      <c r="C27" s="76"/>
      <c r="D27" s="76"/>
      <c r="E27" s="76"/>
      <c r="F27" s="77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1" t="s">
        <v>221</v>
      </c>
      <c r="C29" s="102"/>
      <c r="D29" s="102"/>
      <c r="E29" s="102"/>
      <c r="F29" s="103"/>
      <c r="G29" s="1"/>
    </row>
    <row r="30" spans="1:7" x14ac:dyDescent="0.25">
      <c r="A30" s="1"/>
      <c r="B30" s="104" t="s">
        <v>222</v>
      </c>
      <c r="C30" s="105"/>
      <c r="D30" s="106"/>
      <c r="E30" s="9">
        <v>15245899.150318211</v>
      </c>
      <c r="F30" s="14" t="s">
        <v>3</v>
      </c>
      <c r="G30" s="1"/>
    </row>
    <row r="31" spans="1:7" x14ac:dyDescent="0.25">
      <c r="A31" s="1"/>
      <c r="B31" s="104" t="s">
        <v>223</v>
      </c>
      <c r="C31" s="105"/>
      <c r="D31" s="106"/>
      <c r="E31" s="9">
        <v>15767724</v>
      </c>
      <c r="F31" s="14" t="s">
        <v>3</v>
      </c>
      <c r="G31" s="1"/>
    </row>
    <row r="32" spans="1:7" x14ac:dyDescent="0.25">
      <c r="A32" s="1"/>
      <c r="B32" s="104" t="s">
        <v>36</v>
      </c>
      <c r="C32" s="105"/>
      <c r="D32" s="106"/>
      <c r="E32" s="9">
        <v>0</v>
      </c>
      <c r="F32" s="14" t="s">
        <v>3</v>
      </c>
      <c r="G32" s="1"/>
    </row>
    <row r="33" spans="1:7" x14ac:dyDescent="0.25">
      <c r="A33" s="1"/>
      <c r="B33" s="90" t="s">
        <v>228</v>
      </c>
      <c r="C33" s="91"/>
      <c r="D33" s="114"/>
      <c r="E33" s="10">
        <f>E30-(E31-E32)</f>
        <v>-521824.84968178906</v>
      </c>
      <c r="F33" s="17" t="s">
        <v>3</v>
      </c>
      <c r="G33" s="1"/>
    </row>
    <row r="34" spans="1:7" x14ac:dyDescent="0.25">
      <c r="A34" s="1"/>
      <c r="B34" s="40"/>
      <c r="C34" s="41"/>
      <c r="D34" s="41"/>
      <c r="E34" s="41"/>
      <c r="F34" s="2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01" t="s">
        <v>217</v>
      </c>
      <c r="C36" s="102"/>
      <c r="D36" s="102"/>
      <c r="E36" s="102"/>
      <c r="F36" s="103"/>
      <c r="G36" s="1"/>
    </row>
    <row r="37" spans="1:7" x14ac:dyDescent="0.25">
      <c r="A37" s="1"/>
      <c r="B37" s="90" t="s">
        <v>218</v>
      </c>
      <c r="C37" s="91"/>
      <c r="D37" s="114"/>
      <c r="E37" s="10">
        <f>IF(AND(E9&gt;0,E17&gt;0),E9/4,IF(AND(E9&gt;0,E17&lt;0,ABS(E9)&gt;ABS(E17)),(E9+E17)/4,IF(AND(E9&lt;0,E17&gt;0,ABS(E9)&gt;ABS(E17)),(E9+E17)/4,IF(AND(E9&gt;0,E17&lt;0,ABS(E9)&lt;ABS(E17)),(E9+E17)/4+IF(E9+E17+E25&gt;0,(E25-(E9+E17+E25))/3,IF(E9+E17+E25=0,E25/3,IF(AND(E25&gt;0,E9+E17+E25&lt;0),E25/3,0))),IF(AND(E9&lt;0,E17&lt;0),(E9+E17)/4+IF(E9+E17+E25&gt;0,(E25-(E9+E17+E25))/3,IF(E9+E17+E25=0,E25/3,IF(AND(E25&gt;0,E9+E17+E25&lt;0),E25/3,0))),0)))))</f>
        <v>281932.01108030824</v>
      </c>
      <c r="F37" s="17" t="s">
        <v>3</v>
      </c>
      <c r="G37" s="1"/>
    </row>
    <row r="38" spans="1:7" x14ac:dyDescent="0.25">
      <c r="A38" s="1"/>
      <c r="B38" s="101"/>
      <c r="C38" s="102"/>
      <c r="D38" s="102"/>
      <c r="E38" s="102"/>
      <c r="F38" s="103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01" t="s">
        <v>136</v>
      </c>
      <c r="C40" s="102"/>
      <c r="D40" s="102"/>
      <c r="E40" s="102"/>
      <c r="F40" s="103"/>
      <c r="G40" s="1"/>
    </row>
    <row r="41" spans="1:7" x14ac:dyDescent="0.25">
      <c r="A41" s="1"/>
      <c r="B41" s="110" t="s">
        <v>40</v>
      </c>
      <c r="C41" s="111"/>
      <c r="D41" s="112"/>
      <c r="E41" s="9">
        <f>IF(AND((E9+E17)&lt;0,(E25+E33)&lt;0),(E25+E33),IF(AND(E9&gt;0,E17&gt;0,(E17+E25+E33)&gt;0),0,IF(AND(E9&gt;0,E17&gt;0,(E17+E25+E33)&lt;0),(E17+E25+E33),IF(AND(E9&lt;0,E17&gt;0,(E9+E17)&gt;0,(E17+E25+E33)&gt;0),0,IF(AND(E9&gt;0,E17&lt;0,(E9+E17)&gt;0,(E25+E33)&lt;0),(E25+E33),0)))))</f>
        <v>0</v>
      </c>
      <c r="F41" s="14" t="s">
        <v>3</v>
      </c>
      <c r="G41" s="1"/>
    </row>
    <row r="42" spans="1:7" x14ac:dyDescent="0.25">
      <c r="A42" s="1"/>
      <c r="B42" s="110" t="s">
        <v>132</v>
      </c>
      <c r="C42" s="111"/>
      <c r="D42" s="112"/>
      <c r="E42" s="9">
        <v>4</v>
      </c>
      <c r="F42" s="14" t="s">
        <v>19</v>
      </c>
      <c r="G42" s="1"/>
    </row>
    <row r="43" spans="1:7" x14ac:dyDescent="0.25">
      <c r="A43" s="1"/>
      <c r="B43" s="90" t="s">
        <v>220</v>
      </c>
      <c r="C43" s="91"/>
      <c r="D43" s="114"/>
      <c r="E43" s="10">
        <f>E41/E42</f>
        <v>0</v>
      </c>
      <c r="F43" s="17" t="s">
        <v>3</v>
      </c>
      <c r="G43" s="1"/>
    </row>
    <row r="44" spans="1:7" x14ac:dyDescent="0.25">
      <c r="A44" s="1"/>
      <c r="B44" s="101"/>
      <c r="C44" s="102"/>
      <c r="D44" s="102"/>
      <c r="E44" s="102"/>
      <c r="F44" s="103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33"/>
      <c r="B47" s="33"/>
      <c r="C47" s="33"/>
      <c r="D47" s="33"/>
      <c r="E47" s="33"/>
      <c r="F47" s="33"/>
      <c r="G47" s="33"/>
    </row>
    <row r="48" spans="1:7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</sheetData>
  <sheetProtection algorithmName="SHA-512" hashValue="96BqOj3/WeUG66IlrErGRiWarb9z527GOWxZrSt5Fvo8sRyNgj68ipRPv951Mb3OVUjdqf5DHjD+/18fsbBGqw==" saltValue="0x2fPMlXj0laVjLafnHlCQ==" spinCount="100000" sheet="1" objects="1" scenarios="1"/>
  <mergeCells count="31">
    <mergeCell ref="B44:F44"/>
    <mergeCell ref="B13:F13"/>
    <mergeCell ref="B14:D14"/>
    <mergeCell ref="B15:D15"/>
    <mergeCell ref="B11:F11"/>
    <mergeCell ref="B19:F19"/>
    <mergeCell ref="B36:F36"/>
    <mergeCell ref="B37:D37"/>
    <mergeCell ref="B38:F38"/>
    <mergeCell ref="B25:D25"/>
    <mergeCell ref="B40:F40"/>
    <mergeCell ref="B41:D41"/>
    <mergeCell ref="B42:D42"/>
    <mergeCell ref="B43:D43"/>
    <mergeCell ref="B29:F29"/>
    <mergeCell ref="B30:D30"/>
    <mergeCell ref="B31:D31"/>
    <mergeCell ref="B32:D32"/>
    <mergeCell ref="B33:D33"/>
    <mergeCell ref="B27:F27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231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211</v>
      </c>
      <c r="C8" s="102"/>
      <c r="D8" s="102"/>
      <c r="E8" s="102"/>
      <c r="F8" s="102"/>
      <c r="G8" s="102"/>
      <c r="H8" s="10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25">
      <c r="A10" s="1"/>
      <c r="B10" s="53" t="s">
        <v>252</v>
      </c>
      <c r="C10" s="54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101" t="s">
        <v>212</v>
      </c>
      <c r="C11" s="102"/>
      <c r="D11" s="10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U/24GMppL3yXMmBYqW6ZjK4mh1mq3WOpVC0GjhZeTuJ+YZvBkOQbSMQ0PRacU2Fl7RE3ZQG07mcjCYTM8rtgg==" saltValue="O0dii0tX1uyTCpOKPFDRi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236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98</v>
      </c>
      <c r="C8" s="41"/>
      <c r="D8" s="41"/>
      <c r="E8" s="41"/>
      <c r="F8" s="20"/>
      <c r="G8" s="1"/>
    </row>
    <row r="9" spans="1:7" ht="17.25" customHeight="1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213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40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196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OWEMrbHv5MzpBA1wKTHB7PqAAknKWfgF1PaC9ZIl8rv7YQPsWcLI5g5mpx1vBETRAIypKdibqEDoI2+gdB+Dg==" saltValue="ILnNPVSxK4u+OMdEMoRNr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122</v>
      </c>
      <c r="C8" s="102"/>
      <c r="D8" s="102"/>
      <c r="E8" s="102"/>
      <c r="F8" s="103"/>
      <c r="G8" s="1"/>
    </row>
    <row r="9" spans="1:7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249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126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0" t="s">
        <v>125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1" t="s">
        <v>123</v>
      </c>
      <c r="C16" s="102"/>
      <c r="D16" s="102"/>
      <c r="E16" s="102"/>
      <c r="F16" s="103"/>
      <c r="G16" s="1"/>
    </row>
    <row r="17" spans="1:7" x14ac:dyDescent="0.2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25">
      <c r="A18" s="1"/>
      <c r="B18" s="25" t="s">
        <v>249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178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126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0" t="s">
        <v>193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1" t="s">
        <v>124</v>
      </c>
      <c r="C24" s="102"/>
      <c r="D24" s="102"/>
      <c r="E24" s="102"/>
      <c r="F24" s="103"/>
      <c r="G24" s="1"/>
    </row>
    <row r="25" spans="1:7" x14ac:dyDescent="0.2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25">
      <c r="A26" s="1"/>
      <c r="B26" s="25" t="s">
        <v>249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178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126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0" t="s">
        <v>194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1" t="s">
        <v>179</v>
      </c>
      <c r="C32" s="102"/>
      <c r="D32" s="102"/>
      <c r="E32" s="102"/>
      <c r="F32" s="103"/>
      <c r="G32" s="1"/>
    </row>
    <row r="33" spans="1:7" x14ac:dyDescent="0.2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25">
      <c r="A34" s="1"/>
      <c r="B34" s="25" t="s">
        <v>249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178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126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0" t="s">
        <v>195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7E/bZPn5UGqFPVLiajOZjVmq6BCXhfG5mQVDUJMA/9Who31VdRUVCYRJUJ8ZYP3hlVJjEw9oIfXOVi+sR7RMqA==" saltValue="s9kctbBNSL3Wuk0iE7CdU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234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180</v>
      </c>
      <c r="C8" s="102"/>
      <c r="D8" s="102"/>
      <c r="E8" s="102"/>
      <c r="F8" s="103"/>
      <c r="G8" s="1"/>
    </row>
    <row r="9" spans="1:7" ht="15" customHeight="1" x14ac:dyDescent="0.25">
      <c r="A9" s="1"/>
      <c r="B9" s="42" t="s">
        <v>181</v>
      </c>
      <c r="C9" s="84" t="s">
        <v>11</v>
      </c>
      <c r="D9" s="86"/>
      <c r="E9" s="84" t="s">
        <v>34</v>
      </c>
      <c r="F9" s="86"/>
      <c r="G9" s="1"/>
    </row>
    <row r="10" spans="1:7" x14ac:dyDescent="0.25">
      <c r="A10" s="1"/>
      <c r="B10" s="25" t="s">
        <v>250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182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0Rkyd6Z33nWVIhx9xCV7Zd2nagAIP3lYDy5fGhZi3Fo1DSbqaOuddBm8ss+anFgUoT2h3i9pChUhUTK5pjBBbw==" saltValue="FVrSloXQyy9AUwReLhTMJ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115</v>
      </c>
      <c r="C8" s="102"/>
      <c r="D8" s="102"/>
      <c r="E8" s="102"/>
      <c r="F8" s="10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251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108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1" t="s">
        <v>114</v>
      </c>
      <c r="C14" s="102"/>
      <c r="D14" s="102"/>
      <c r="E14" s="102"/>
      <c r="F14" s="10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34</v>
      </c>
      <c r="F15" s="43"/>
      <c r="G15" s="1"/>
    </row>
    <row r="16" spans="1:7" x14ac:dyDescent="0.25">
      <c r="A16" s="1"/>
      <c r="B16" s="25" t="s">
        <v>251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49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109</v>
      </c>
      <c r="C18" s="12">
        <f>C17*(1+'Fane 12. Nøgletal'!C13)^2</f>
        <v>0</v>
      </c>
      <c r="D18" s="13" t="s">
        <v>3</v>
      </c>
      <c r="E18" s="12">
        <f>E17*(1+'Fane 12.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1" t="s">
        <v>116</v>
      </c>
      <c r="C20" s="102"/>
      <c r="D20" s="102"/>
      <c r="E20" s="102"/>
      <c r="F20" s="10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34</v>
      </c>
      <c r="F21" s="43"/>
      <c r="G21" s="1"/>
    </row>
    <row r="22" spans="1:7" x14ac:dyDescent="0.25">
      <c r="A22" s="1"/>
      <c r="B22" s="25" t="s">
        <v>251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49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110</v>
      </c>
      <c r="C24" s="12">
        <f>C23*(1+'Fane 12. Nøgletal'!C13)^3</f>
        <v>0</v>
      </c>
      <c r="D24" s="13" t="s">
        <v>3</v>
      </c>
      <c r="E24" s="12">
        <f>E23*(1+'Fane 12.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1" t="s">
        <v>183</v>
      </c>
      <c r="C26" s="102"/>
      <c r="D26" s="102"/>
      <c r="E26" s="102"/>
      <c r="F26" s="10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34</v>
      </c>
      <c r="F27" s="43"/>
      <c r="G27" s="1"/>
    </row>
    <row r="28" spans="1:7" x14ac:dyDescent="0.25">
      <c r="A28" s="1"/>
      <c r="B28" s="25" t="s">
        <v>251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49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184</v>
      </c>
      <c r="C30" s="12">
        <f>C29*(1+'Fane 12. Nøgletal'!C13)^4</f>
        <v>0</v>
      </c>
      <c r="D30" s="13" t="s">
        <v>3</v>
      </c>
      <c r="E30" s="12">
        <f>E29*(1+'Fane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Tn4Pp92um9PGKbWoH7Vz6PvSg7OdUHLZ5A+xW2adNSizTEV/f4EOyhVC0gboTkIDlzC1xRsypb7gKBNlvR60A==" saltValue="62+iduOqgckya3eH0Dxjt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232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14</v>
      </c>
      <c r="C8" s="20"/>
      <c r="D8" s="1"/>
    </row>
    <row r="9" spans="1:4" x14ac:dyDescent="0.25">
      <c r="A9" s="1"/>
      <c r="B9" s="52" t="s">
        <v>147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148</v>
      </c>
      <c r="C11" s="26">
        <v>1.6899999999999998E-2</v>
      </c>
      <c r="D11" s="1"/>
    </row>
    <row r="12" spans="1:4" x14ac:dyDescent="0.25">
      <c r="A12" s="1"/>
      <c r="B12" s="30" t="s">
        <v>47</v>
      </c>
      <c r="C12" s="31">
        <v>1.9699999999999999E-2</v>
      </c>
      <c r="D12" s="1"/>
    </row>
    <row r="13" spans="1:4" x14ac:dyDescent="0.25">
      <c r="A13" s="1"/>
      <c r="B13" s="30" t="s">
        <v>185</v>
      </c>
      <c r="C13" s="31">
        <v>1.2200000000000001E-2</v>
      </c>
      <c r="D13" s="1"/>
    </row>
    <row r="14" spans="1:4" x14ac:dyDescent="0.25">
      <c r="A14" s="1"/>
      <c r="B14" s="40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0" t="s">
        <v>128</v>
      </c>
      <c r="C17" s="20"/>
      <c r="D17" s="1"/>
    </row>
    <row r="18" spans="1:4" x14ac:dyDescent="0.25">
      <c r="A18" s="1"/>
      <c r="B18" s="52" t="s">
        <v>149</v>
      </c>
      <c r="C18" s="23">
        <v>9.1000000000000004E-3</v>
      </c>
      <c r="D18" s="1"/>
    </row>
    <row r="19" spans="1:4" x14ac:dyDescent="0.25">
      <c r="A19" s="1"/>
      <c r="B19" s="52" t="s">
        <v>150</v>
      </c>
      <c r="C19" s="23">
        <v>1.77E-2</v>
      </c>
      <c r="D19" s="1"/>
    </row>
    <row r="20" spans="1:4" x14ac:dyDescent="0.25">
      <c r="A20" s="1"/>
      <c r="B20" s="52" t="s">
        <v>152</v>
      </c>
      <c r="C20" s="23">
        <v>8.6999999999999994E-3</v>
      </c>
      <c r="D20" s="1"/>
    </row>
    <row r="21" spans="1:4" x14ac:dyDescent="0.25">
      <c r="A21" s="1"/>
      <c r="B21" s="52" t="s">
        <v>151</v>
      </c>
      <c r="C21" s="32">
        <v>2.8400000000000002E-2</v>
      </c>
      <c r="D21" s="1"/>
    </row>
    <row r="22" spans="1:4" x14ac:dyDescent="0.25">
      <c r="A22" s="1"/>
      <c r="B22" s="52" t="s">
        <v>192</v>
      </c>
      <c r="C22" s="32">
        <v>2.75E-2</v>
      </c>
      <c r="D22" s="1"/>
    </row>
    <row r="23" spans="1:4" x14ac:dyDescent="0.25">
      <c r="A23" s="1"/>
      <c r="B23" s="40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0" t="s">
        <v>129</v>
      </c>
      <c r="C26" s="20"/>
      <c r="D26" s="1"/>
    </row>
    <row r="27" spans="1:4" x14ac:dyDescent="0.25">
      <c r="A27" s="1"/>
      <c r="B27" s="52" t="s">
        <v>153</v>
      </c>
      <c r="C27" s="26">
        <v>0.02</v>
      </c>
      <c r="D27" s="1"/>
    </row>
    <row r="28" spans="1:4" x14ac:dyDescent="0.25">
      <c r="A28" s="1"/>
      <c r="B28" s="40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6N+oFOaUSSwd6Y7AtFSsfORls6LJDpVbhpGSovVWNKUBkOjuLktB+3fVSenihczg0mzqxO9h1NuCHnn55vS3PA==" saltValue="iCias2kkktFBfvwnpl2BY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x14ac:dyDescent="0.25">
      <c r="A9" s="1"/>
      <c r="B9" s="45" t="s">
        <v>25</v>
      </c>
      <c r="C9" s="7">
        <f>'Fane 3. Omkostninger i ØR2020'!E20</f>
        <v>9555174.8527083211</v>
      </c>
      <c r="D9" s="8" t="s">
        <v>3</v>
      </c>
      <c r="E9" s="1"/>
    </row>
    <row r="10" spans="1:5" x14ac:dyDescent="0.25">
      <c r="A10" s="1"/>
      <c r="B10" s="39" t="s">
        <v>190</v>
      </c>
      <c r="C10" s="7">
        <f>(SUM('Fane 3. Omkostninger i ØR2020'!E10,'Fane 3. Omkostninger i ØR2020'!E14,'Fane 3. Omkostninger i ØR2020'!E12)*(1+'Fane 12. Nøgletal'!C12)*(1-'Fane 12. Nøgletal'!C27-'Fane 5. Individuelt eff. krav'!G10))</f>
        <v>0</v>
      </c>
      <c r="D10" s="8" t="s">
        <v>3</v>
      </c>
      <c r="E10" s="1"/>
    </row>
    <row r="11" spans="1:5" x14ac:dyDescent="0.25">
      <c r="A11" s="1"/>
      <c r="B11" s="39" t="s">
        <v>191</v>
      </c>
      <c r="C11" s="7">
        <f>(SUM('Fane 3. Omkostninger i ØR2020'!E11,'Fane 3. Omkostninger i ØR2020'!E13,'Fane 3. Omkostninger i ØR2020'!E15))*(1+'Fane 12. Nøgletal'!C12)*(1-'Fane 12. Nøgletal'!C21-'Fane 5. Individuelt eff. krav'!G10)</f>
        <v>0</v>
      </c>
      <c r="D11" s="8" t="s">
        <v>3</v>
      </c>
      <c r="E11" s="1"/>
    </row>
    <row r="12" spans="1:5" ht="17.100000000000001" customHeight="1" x14ac:dyDescent="0.25">
      <c r="A12" s="1"/>
      <c r="B12" s="49" t="s">
        <v>45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46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30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29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162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49" t="s">
        <v>163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49" t="s">
        <v>18</v>
      </c>
      <c r="C18" s="9">
        <f>(C9-SUM(C10:C11))*'Fane 12. Nøgletal'!C11+SUM(C10:C11)*'Fane 12. Nøgletal'!C12+SUM(C12:C17)*'Fane 12. Nøgletal'!C13</f>
        <v>161482.45501077062</v>
      </c>
      <c r="D18" s="8" t="s">
        <v>3</v>
      </c>
      <c r="E18" s="1"/>
    </row>
    <row r="19" spans="1:5" ht="17.100000000000001" customHeight="1" x14ac:dyDescent="0.25">
      <c r="A19" s="1"/>
      <c r="B19" s="49" t="s">
        <v>9</v>
      </c>
      <c r="C19" s="9">
        <f>-SUM(C9:C18)*'Fane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49" t="s">
        <v>27</v>
      </c>
      <c r="C20" s="9">
        <f>-'Fane 4.1. Gen. krav - drift'!G33</f>
        <v>-86364.988352012355</v>
      </c>
      <c r="D20" s="8" t="s">
        <v>3</v>
      </c>
      <c r="E20" s="1"/>
    </row>
    <row r="21" spans="1:5" ht="17.100000000000001" customHeight="1" x14ac:dyDescent="0.25">
      <c r="A21" s="1"/>
      <c r="B21" s="49" t="s">
        <v>28</v>
      </c>
      <c r="C21" s="9">
        <f>-'Fane 4.2. Gen. krav - anlæg'!G33</f>
        <v>-48354.863545339482</v>
      </c>
      <c r="D21" s="8" t="s">
        <v>3</v>
      </c>
      <c r="E21" s="1"/>
    </row>
    <row r="22" spans="1:5" ht="17.100000000000001" customHeight="1" x14ac:dyDescent="0.25">
      <c r="A22" s="1"/>
      <c r="B22" s="50" t="s">
        <v>20</v>
      </c>
      <c r="C22" s="10">
        <f>SUM(C9,C12:C21)</f>
        <v>9581937.4558217395</v>
      </c>
      <c r="D22" s="11" t="s">
        <v>3</v>
      </c>
      <c r="E22" s="1"/>
    </row>
    <row r="23" spans="1:5" ht="15" customHeight="1" x14ac:dyDescent="0.25">
      <c r="A23" s="1"/>
      <c r="B23" s="40" t="s">
        <v>12</v>
      </c>
      <c r="C23" s="41"/>
      <c r="D23" s="20"/>
      <c r="E23" s="1"/>
    </row>
    <row r="24" spans="1:5" ht="15" customHeight="1" x14ac:dyDescent="0.25">
      <c r="A24" s="1"/>
      <c r="B24" s="42" t="s">
        <v>12</v>
      </c>
      <c r="C24" s="10">
        <f>'Fane 6. Ikke-påvirkelige omk.'!C14</f>
        <v>5954438.1136514405</v>
      </c>
      <c r="D24" s="11" t="s">
        <v>3</v>
      </c>
      <c r="E24" s="1"/>
    </row>
    <row r="25" spans="1:5" ht="15" customHeight="1" x14ac:dyDescent="0.25">
      <c r="A25" s="1"/>
      <c r="B25" s="40" t="s">
        <v>103</v>
      </c>
      <c r="C25" s="41"/>
      <c r="D25" s="20"/>
      <c r="E25" s="1"/>
    </row>
    <row r="26" spans="1:5" ht="15" customHeight="1" x14ac:dyDescent="0.25">
      <c r="A26" s="1"/>
      <c r="B26" s="49" t="s">
        <v>99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100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50" t="s">
        <v>104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4" t="s">
        <v>224</v>
      </c>
      <c r="C29" s="41"/>
      <c r="D29" s="20"/>
      <c r="E29" s="1"/>
    </row>
    <row r="30" spans="1:5" x14ac:dyDescent="0.25">
      <c r="A30" s="1"/>
      <c r="B30" s="35" t="s">
        <v>225</v>
      </c>
      <c r="C30" s="10">
        <f>'Fane 7. Kontrol af ØR2019'!E37</f>
        <v>281932.01108030824</v>
      </c>
      <c r="D30" s="11" t="s">
        <v>3</v>
      </c>
      <c r="E30" s="1"/>
    </row>
    <row r="31" spans="1:5" x14ac:dyDescent="0.25">
      <c r="A31" s="1"/>
      <c r="B31" s="40" t="s">
        <v>31</v>
      </c>
      <c r="C31" s="12">
        <f>SUM(C22,C24,C28,C30)</f>
        <v>15818307.580553489</v>
      </c>
      <c r="D31" s="13" t="s">
        <v>3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KhWLtuZmJvTL+x2H+AXcVtcK6PqkkrF0N7VuuqhEEtUnqLj35PkjQp1J1WHcq6Dw2IhrOODFkCPp0CTx4Fj+Q==" saltValue="kHToy//xy5yS28C2smgbd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ht="15" customHeight="1" x14ac:dyDescent="0.25">
      <c r="A9" s="1"/>
      <c r="B9" s="45" t="s">
        <v>26</v>
      </c>
      <c r="C9" s="7">
        <f>'Fane 2.1. Økonomisk ramme 2021'!C22</f>
        <v>9581937.4558217395</v>
      </c>
      <c r="D9" s="8" t="s">
        <v>3</v>
      </c>
      <c r="E9" s="1"/>
    </row>
    <row r="10" spans="1:5" ht="15" customHeight="1" x14ac:dyDescent="0.25">
      <c r="A10" s="1"/>
      <c r="B10" s="45" t="s">
        <v>214</v>
      </c>
      <c r="C10" s="7">
        <f>'Fane 2.1. Økonomisk ramme 2021'!C10*(1-'Fane 12. Nøgletal'!C27)*(1+'Fane 12. Nøgletal'!C12)</f>
        <v>0</v>
      </c>
      <c r="D10" s="8" t="s">
        <v>3</v>
      </c>
      <c r="E10" s="1"/>
    </row>
    <row r="11" spans="1:5" ht="15" customHeight="1" x14ac:dyDescent="0.25">
      <c r="A11" s="1"/>
      <c r="B11" s="45" t="s">
        <v>215</v>
      </c>
      <c r="C11" s="7">
        <f>'Fane 2.1. Økonomisk ramme 2021'!C11*(1-'Fane 12. Nøgletal'!C21)*(1+'Fane 12. Nøgletal'!C12)</f>
        <v>0</v>
      </c>
      <c r="D11" s="8" t="s">
        <v>3</v>
      </c>
      <c r="E11" s="1"/>
    </row>
    <row r="12" spans="1:5" ht="15" customHeight="1" x14ac:dyDescent="0.25">
      <c r="A12" s="1"/>
      <c r="B12" s="51" t="s">
        <v>165</v>
      </c>
      <c r="C12" s="7">
        <f>('Fane 2.1. Økonomisk ramme 2021'!C12+'Fane 2.1. Økonomisk ramme 2021'!C14+'Fane 2.1. Økonomisk ramme 2021'!C16)*(1-'Fane 12. Nøgletal'!C27-'Fane 5. Individuelt eff. krav'!G10)*(1+'Fane 12. Nøgletal'!C13)</f>
        <v>0</v>
      </c>
      <c r="D12" s="8" t="s">
        <v>3</v>
      </c>
      <c r="E12" s="1"/>
    </row>
    <row r="13" spans="1:5" ht="15" customHeight="1" x14ac:dyDescent="0.25">
      <c r="A13" s="1"/>
      <c r="B13" s="51" t="s">
        <v>166</v>
      </c>
      <c r="C13" s="7">
        <f>('Fane 2.1. Økonomisk ramme 2021'!C13+'Fane 2.1. Økonomisk ramme 2021'!C15+'Fane 2.1. Økonomisk ramme 2021'!C17)*(1-'Fane 12. Nøgletal'!C22-'Fane 5. Individuelt eff. krav'!G10)*(1+'Fane 12. Nøgletal'!C13)</f>
        <v>0</v>
      </c>
      <c r="D13" s="8" t="s">
        <v>3</v>
      </c>
      <c r="E13" s="1"/>
    </row>
    <row r="14" spans="1:5" ht="15" customHeight="1" x14ac:dyDescent="0.25">
      <c r="A14" s="1"/>
      <c r="B14" s="49" t="s">
        <v>30</v>
      </c>
      <c r="C14" s="7">
        <f>-'Fane 11. Bortfald'!C18</f>
        <v>0</v>
      </c>
      <c r="D14" s="8" t="s">
        <v>3</v>
      </c>
      <c r="E14" s="1"/>
    </row>
    <row r="15" spans="1:5" ht="15" customHeight="1" x14ac:dyDescent="0.25">
      <c r="A15" s="1"/>
      <c r="B15" s="49" t="s">
        <v>29</v>
      </c>
      <c r="C15" s="7">
        <f>-'Fane 11. Bortfald'!E18</f>
        <v>0</v>
      </c>
      <c r="D15" s="8" t="s">
        <v>3</v>
      </c>
      <c r="E15" s="1"/>
    </row>
    <row r="16" spans="1:5" ht="15" customHeight="1" x14ac:dyDescent="0.25">
      <c r="A16" s="1"/>
      <c r="B16" s="39" t="s">
        <v>18</v>
      </c>
      <c r="C16" s="9">
        <f>(C9-SUM(C10:C13))*'Fane 12. Nøgletal'!C11+SUM(C10:C11)*'Fane 12. Nøgletal'!C12+SUM(C12:C15)*'Fane 12. Nøgletal'!C13</f>
        <v>161934.74300338738</v>
      </c>
      <c r="D16" s="8" t="s">
        <v>3</v>
      </c>
      <c r="E16" s="1"/>
    </row>
    <row r="17" spans="1:5" ht="15" customHeight="1" x14ac:dyDescent="0.25">
      <c r="A17" s="1"/>
      <c r="B17" s="39" t="s">
        <v>9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39" t="s">
        <v>27</v>
      </c>
      <c r="C18" s="9">
        <f>-'Fane 4.1. Gen. krav - drift'!G41</f>
        <v>-86068.065522058125</v>
      </c>
      <c r="D18" s="8" t="s">
        <v>3</v>
      </c>
      <c r="E18" s="1"/>
    </row>
    <row r="19" spans="1:5" x14ac:dyDescent="0.25">
      <c r="A19" s="1"/>
      <c r="B19" s="39" t="s">
        <v>28</v>
      </c>
      <c r="C19" s="9">
        <f>-'Fane 4.2. Gen. krav - anlæg'!G41</f>
        <v>-48744.263810824195</v>
      </c>
      <c r="D19" s="8" t="s">
        <v>3</v>
      </c>
      <c r="E19" s="1"/>
    </row>
    <row r="20" spans="1:5" ht="15" customHeight="1" x14ac:dyDescent="0.25">
      <c r="A20" s="1"/>
      <c r="B20" s="46" t="s">
        <v>20</v>
      </c>
      <c r="C20" s="10">
        <f>SUM(C9,C14:C19)</f>
        <v>9609059.869492244</v>
      </c>
      <c r="D20" s="11" t="s">
        <v>3</v>
      </c>
      <c r="E20" s="1"/>
    </row>
    <row r="21" spans="1:5" ht="15" customHeight="1" x14ac:dyDescent="0.25">
      <c r="A21" s="1"/>
      <c r="B21" s="40" t="s">
        <v>12</v>
      </c>
      <c r="C21" s="41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omk.'!C14*(1+'Fane 12. Nøgletal'!C13)</f>
        <v>6027082.258637988</v>
      </c>
      <c r="D22" s="11" t="s">
        <v>3</v>
      </c>
      <c r="E22" s="1"/>
    </row>
    <row r="23" spans="1:5" ht="15" customHeight="1" x14ac:dyDescent="0.25">
      <c r="A23" s="1"/>
      <c r="B23" s="40" t="s">
        <v>103</v>
      </c>
      <c r="C23" s="41"/>
      <c r="D23" s="20"/>
      <c r="E23" s="1"/>
    </row>
    <row r="24" spans="1:5" ht="15" customHeight="1" x14ac:dyDescent="0.25">
      <c r="A24" s="1"/>
      <c r="B24" s="49" t="s">
        <v>99</v>
      </c>
      <c r="C24" s="9">
        <f>'Fane 9.2. Engangstillæg'!C22</f>
        <v>0</v>
      </c>
      <c r="D24" s="8" t="s">
        <v>3</v>
      </c>
      <c r="E24" s="1"/>
    </row>
    <row r="25" spans="1:5" x14ac:dyDescent="0.25">
      <c r="A25" s="1"/>
      <c r="B25" s="49" t="s">
        <v>100</v>
      </c>
      <c r="C25" s="9">
        <f>'Fane 9.2. Engangstillæg'!E22</f>
        <v>0</v>
      </c>
      <c r="D25" s="8" t="s">
        <v>3</v>
      </c>
      <c r="E25" s="1"/>
    </row>
    <row r="26" spans="1:5" ht="15" customHeight="1" x14ac:dyDescent="0.25">
      <c r="A26" s="1"/>
      <c r="B26" s="50" t="s">
        <v>104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4" t="s">
        <v>224</v>
      </c>
      <c r="C27" s="41"/>
      <c r="D27" s="20"/>
      <c r="E27" s="1"/>
    </row>
    <row r="28" spans="1:5" ht="15" customHeight="1" x14ac:dyDescent="0.25">
      <c r="A28" s="1"/>
      <c r="B28" s="35" t="s">
        <v>225</v>
      </c>
      <c r="C28" s="10">
        <f>'Fane 7. Kontrol af ØR2019'!E37</f>
        <v>281932.01108030824</v>
      </c>
      <c r="D28" s="11" t="s">
        <v>3</v>
      </c>
      <c r="E28" s="1"/>
    </row>
    <row r="29" spans="1:5" x14ac:dyDescent="0.25">
      <c r="A29" s="1"/>
      <c r="B29" s="40" t="s">
        <v>32</v>
      </c>
      <c r="C29" s="12">
        <f>SUM(C20,C22,C26,C28)</f>
        <v>15918074.139210539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mEaH4O5Pe9qpCRAiKfGGs4vO5mG/u4B/LkinAI92VQ5Zq8FxtNnPKaPaTbgQN/yImFpje3y7H7Wf0C4osuQ==" saltValue="8T08z5dWRl5CE2q565TD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167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168</v>
      </c>
      <c r="C8" s="7">
        <f>'Fane 2.2. Økonomisk ramme 2022'!C20</f>
        <v>9609059.869492244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117230.53040780539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drift'!G47</f>
        <v>-85375.734002998695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anlæg'!G47</f>
        <v>-154599.61068908425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SUM(C8,C9:C14)</f>
        <v>9486315.0552079659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omk.'!C14*(1+'Fane 12. Nøgletal'!C13)^2</f>
        <v>6100612.6621933719</v>
      </c>
      <c r="D17" s="11" t="s">
        <v>3</v>
      </c>
      <c r="E17" s="1"/>
    </row>
    <row r="18" spans="1:5" ht="15" customHeight="1" x14ac:dyDescent="0.25">
      <c r="A18" s="1"/>
      <c r="B18" s="40" t="s">
        <v>103</v>
      </c>
      <c r="C18" s="41"/>
      <c r="D18" s="20"/>
      <c r="E18" s="1"/>
    </row>
    <row r="19" spans="1:5" ht="15" customHeight="1" x14ac:dyDescent="0.25">
      <c r="A19" s="1"/>
      <c r="B19" s="49" t="s">
        <v>99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49" t="s">
        <v>100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1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0</v>
      </c>
      <c r="D23" s="11" t="s">
        <v>3</v>
      </c>
      <c r="E23" s="1"/>
    </row>
    <row r="24" spans="1:5" x14ac:dyDescent="0.25">
      <c r="A24" s="1"/>
      <c r="B24" s="40" t="s">
        <v>113</v>
      </c>
      <c r="C24" s="12">
        <f>SUM(C15,C17,C21,C23)</f>
        <v>15586927.717401337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XT9PXEyTHgKhTVfMiEEDcDuq2/6SsWvUypXHF2hNYYJbzZSeLGULj6tON9m1PV0XgO0nDPC0FhOaJgtUZeFEA==" saltValue="XCAh5qEuwojYQaVsUvVY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169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170</v>
      </c>
      <c r="C8" s="7">
        <f>'Fane 2.3. Økonomisk ramme 2023'!C15</f>
        <v>9486315.0552079659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115733.04367353719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drift'!G55</f>
        <v>-84688.971598678574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anlæg'!G54</f>
        <v>-152182.3684761551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SUM(C8:C14)</f>
        <v>9365176.7588066701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omk.'!C14*(1+'Fane 12. Nøgletal'!C13)^3</f>
        <v>6175040.1366721308</v>
      </c>
      <c r="D17" s="11" t="s">
        <v>3</v>
      </c>
      <c r="E17" s="1"/>
    </row>
    <row r="18" spans="1:5" ht="15" customHeight="1" x14ac:dyDescent="0.25">
      <c r="A18" s="1"/>
      <c r="B18" s="40" t="s">
        <v>103</v>
      </c>
      <c r="C18" s="41"/>
      <c r="D18" s="20"/>
      <c r="E18" s="1"/>
    </row>
    <row r="19" spans="1:5" ht="15" customHeight="1" x14ac:dyDescent="0.25">
      <c r="A19" s="1"/>
      <c r="B19" s="49" t="s">
        <v>99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49" t="s">
        <v>100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1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0</v>
      </c>
      <c r="D23" s="11" t="s">
        <v>3</v>
      </c>
      <c r="E23" s="1"/>
    </row>
    <row r="24" spans="1:5" x14ac:dyDescent="0.25">
      <c r="A24" s="1"/>
      <c r="B24" s="40" t="s">
        <v>171</v>
      </c>
      <c r="C24" s="12">
        <f>SUM(C15,C17,C21,C23)</f>
        <v>15540216.8954788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oy6fivkXEEcdI3/rIjP8D62MTqqzttYnRclqxMxz4uwEpdtPqyGXooaiQrzhkVCEp6UVXTshXh8TKXBFXHWAg==" saltValue="bUgTviDR8i0s/EOXlSjk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172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173</v>
      </c>
      <c r="C8" s="41"/>
      <c r="D8" s="41"/>
      <c r="E8" s="41"/>
      <c r="F8" s="20"/>
      <c r="G8" s="1"/>
    </row>
    <row r="9" spans="1:7" x14ac:dyDescent="0.25">
      <c r="A9" s="1"/>
      <c r="B9" s="93" t="s">
        <v>23</v>
      </c>
      <c r="C9" s="94"/>
      <c r="D9" s="95"/>
      <c r="E9" s="7">
        <v>9528770.146809103</v>
      </c>
      <c r="F9" s="8" t="s">
        <v>3</v>
      </c>
      <c r="G9" s="1"/>
    </row>
    <row r="10" spans="1:7" ht="15" customHeight="1" x14ac:dyDescent="0.25">
      <c r="A10" s="1"/>
      <c r="B10" s="78" t="s">
        <v>45</v>
      </c>
      <c r="C10" s="79"/>
      <c r="D10" s="80"/>
      <c r="E10" s="7">
        <v>0</v>
      </c>
      <c r="F10" s="8" t="s">
        <v>3</v>
      </c>
      <c r="G10" s="1"/>
    </row>
    <row r="11" spans="1:7" ht="15" customHeight="1" x14ac:dyDescent="0.25">
      <c r="A11" s="1"/>
      <c r="B11" s="78" t="s">
        <v>46</v>
      </c>
      <c r="C11" s="79"/>
      <c r="D11" s="80"/>
      <c r="E11" s="9">
        <v>0</v>
      </c>
      <c r="F11" s="8" t="s">
        <v>3</v>
      </c>
      <c r="G11" s="1"/>
    </row>
    <row r="12" spans="1:7" x14ac:dyDescent="0.2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2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25">
      <c r="A14" s="1"/>
      <c r="B14" s="78" t="s">
        <v>162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163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18</v>
      </c>
      <c r="C16" s="79"/>
      <c r="D16" s="80"/>
      <c r="E16" s="9">
        <f>E9*'Fane 12. Nøgletal'!C11+SUM(E10:E15)*'Fane 12. Nøgletal'!C12</f>
        <v>161036.21548107383</v>
      </c>
      <c r="F16" s="8" t="s">
        <v>3</v>
      </c>
      <c r="G16" s="1"/>
    </row>
    <row r="17" spans="1:7" x14ac:dyDescent="0.25">
      <c r="A17" s="1"/>
      <c r="B17" s="78" t="s">
        <v>9</v>
      </c>
      <c r="C17" s="79"/>
      <c r="D17" s="80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78" t="s">
        <v>27</v>
      </c>
      <c r="C18" s="79"/>
      <c r="D18" s="80"/>
      <c r="E18" s="9">
        <f>-'Fane 4.1. Gen. krav - drift'!G26</f>
        <v>-86662.935524345055</v>
      </c>
      <c r="F18" s="8" t="s">
        <v>3</v>
      </c>
      <c r="G18" s="1"/>
    </row>
    <row r="19" spans="1:7" x14ac:dyDescent="0.25">
      <c r="A19" s="1"/>
      <c r="B19" s="78" t="s">
        <v>28</v>
      </c>
      <c r="C19" s="79"/>
      <c r="D19" s="80"/>
      <c r="E19" s="9">
        <f>-'Fane 4.2. Gen. krav - anlæg'!G26</f>
        <v>-47968.574057511571</v>
      </c>
      <c r="F19" s="8" t="s">
        <v>3</v>
      </c>
      <c r="G19" s="1"/>
    </row>
    <row r="20" spans="1:7" x14ac:dyDescent="0.25">
      <c r="A20" s="1"/>
      <c r="B20" s="81" t="s">
        <v>20</v>
      </c>
      <c r="C20" s="82"/>
      <c r="D20" s="83"/>
      <c r="E20" s="10">
        <f>SUM(E9:E19)</f>
        <v>9555174.8527083211</v>
      </c>
      <c r="F20" s="11" t="s">
        <v>3</v>
      </c>
      <c r="G20" s="1"/>
    </row>
    <row r="21" spans="1:7" x14ac:dyDescent="0.25">
      <c r="A21" s="1"/>
      <c r="B21" s="96" t="s">
        <v>12</v>
      </c>
      <c r="C21" s="97"/>
      <c r="D21" s="97"/>
      <c r="E21" s="41"/>
      <c r="F21" s="20"/>
      <c r="G21" s="1"/>
    </row>
    <row r="22" spans="1:7" x14ac:dyDescent="0.25">
      <c r="A22" s="1"/>
      <c r="B22" s="98" t="s">
        <v>12</v>
      </c>
      <c r="C22" s="99"/>
      <c r="D22" s="100"/>
      <c r="E22" s="10">
        <v>5550004.6747101499</v>
      </c>
      <c r="F22" s="11" t="s">
        <v>3</v>
      </c>
      <c r="G22" s="1"/>
    </row>
    <row r="23" spans="1:7" x14ac:dyDescent="0.25">
      <c r="A23" s="1"/>
      <c r="B23" s="40" t="s">
        <v>103</v>
      </c>
      <c r="C23" s="41"/>
      <c r="D23" s="41"/>
      <c r="E23" s="41"/>
      <c r="F23" s="20"/>
      <c r="G23" s="1"/>
    </row>
    <row r="24" spans="1:7" ht="15" customHeight="1" x14ac:dyDescent="0.25">
      <c r="A24" s="1"/>
      <c r="B24" s="87" t="s">
        <v>99</v>
      </c>
      <c r="C24" s="88"/>
      <c r="D24" s="88"/>
      <c r="E24" s="38">
        <v>0</v>
      </c>
      <c r="F24" s="38" t="s">
        <v>3</v>
      </c>
      <c r="G24" s="1"/>
    </row>
    <row r="25" spans="1:7" ht="16.149999999999999" customHeight="1" x14ac:dyDescent="0.25">
      <c r="A25" s="1"/>
      <c r="B25" s="87" t="s">
        <v>100</v>
      </c>
      <c r="C25" s="88"/>
      <c r="D25" s="89"/>
      <c r="E25" s="9">
        <v>0</v>
      </c>
      <c r="F25" s="8" t="s">
        <v>3</v>
      </c>
      <c r="G25" s="1"/>
    </row>
    <row r="26" spans="1:7" x14ac:dyDescent="0.25">
      <c r="A26" s="1"/>
      <c r="B26" s="90" t="s">
        <v>104</v>
      </c>
      <c r="C26" s="91"/>
      <c r="D26" s="91"/>
      <c r="E26" s="10">
        <v>0</v>
      </c>
      <c r="F26" s="10" t="s">
        <v>3</v>
      </c>
      <c r="G26" s="1"/>
    </row>
    <row r="27" spans="1:7" x14ac:dyDescent="0.25">
      <c r="A27" s="1"/>
      <c r="B27" s="40" t="s">
        <v>241</v>
      </c>
      <c r="C27" s="41"/>
      <c r="D27" s="41"/>
      <c r="E27" s="41"/>
      <c r="F27" s="20"/>
      <c r="G27" s="1"/>
    </row>
    <row r="28" spans="1:7" ht="13.15" customHeight="1" x14ac:dyDescent="0.25">
      <c r="A28" s="1"/>
      <c r="B28" s="84" t="s">
        <v>242</v>
      </c>
      <c r="C28" s="85"/>
      <c r="D28" s="85"/>
      <c r="E28" s="10">
        <v>0</v>
      </c>
      <c r="F28" s="10" t="s">
        <v>3</v>
      </c>
      <c r="G28" s="1"/>
    </row>
    <row r="29" spans="1:7" x14ac:dyDescent="0.25">
      <c r="A29" s="1"/>
      <c r="B29" s="40" t="s">
        <v>40</v>
      </c>
      <c r="C29" s="41"/>
      <c r="D29" s="41"/>
      <c r="E29" s="41"/>
      <c r="F29" s="20"/>
      <c r="G29" s="1"/>
    </row>
    <row r="30" spans="1:7" x14ac:dyDescent="0.25">
      <c r="A30" s="1"/>
      <c r="B30" s="90" t="s">
        <v>243</v>
      </c>
      <c r="C30" s="91"/>
      <c r="D30" s="91"/>
      <c r="E30" s="10">
        <v>281932.01108030824</v>
      </c>
      <c r="F30" s="10" t="s">
        <v>3</v>
      </c>
      <c r="G30" s="1"/>
    </row>
    <row r="31" spans="1:7" x14ac:dyDescent="0.25">
      <c r="A31" s="1"/>
      <c r="B31" s="40" t="s">
        <v>244</v>
      </c>
      <c r="C31" s="41"/>
      <c r="D31" s="41"/>
      <c r="E31" s="41"/>
      <c r="F31" s="20"/>
      <c r="G31" s="1"/>
    </row>
    <row r="32" spans="1:7" ht="14.25" customHeight="1" x14ac:dyDescent="0.25">
      <c r="A32" s="1"/>
      <c r="B32" s="84" t="s">
        <v>245</v>
      </c>
      <c r="C32" s="85"/>
      <c r="D32" s="86"/>
      <c r="E32" s="10">
        <v>0</v>
      </c>
      <c r="F32" s="11" t="s">
        <v>3</v>
      </c>
      <c r="G32" s="1"/>
    </row>
    <row r="33" spans="1:7" x14ac:dyDescent="0.25">
      <c r="A33" s="1"/>
      <c r="B33" s="40" t="s">
        <v>24</v>
      </c>
      <c r="C33" s="41"/>
      <c r="D33" s="41"/>
      <c r="E33" s="12">
        <f>SUM(E20,E22,E26,E28,E30,E32)</f>
        <v>15387111.53849878</v>
      </c>
      <c r="F33" s="13" t="s">
        <v>3</v>
      </c>
      <c r="G33" s="1"/>
    </row>
    <row r="34" spans="1:7" ht="28.15" customHeight="1" x14ac:dyDescent="0.25">
      <c r="A34" s="1"/>
      <c r="B34" s="75" t="s">
        <v>219</v>
      </c>
      <c r="C34" s="76"/>
      <c r="D34" s="76"/>
      <c r="E34" s="76"/>
      <c r="F34" s="77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28.1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y5YmrZCtZbP61pmuCBf+/+53/NhkYfr9Qw41hkSubUKVdxaYUDqko9kaQrlNyWn1iTBC6ct1a1PDfSEha+X/dA==" saltValue="1+rPkY+a63ffxsz/q3okTg==" spinCount="100000" sheet="1" objects="1" scenarios="1"/>
  <mergeCells count="22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25:D25"/>
    <mergeCell ref="B24:D24"/>
    <mergeCell ref="B26:D26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92" t="s">
        <v>140</v>
      </c>
      <c r="C2" s="92"/>
      <c r="D2" s="92"/>
      <c r="E2" s="92"/>
      <c r="F2" s="92"/>
      <c r="G2" s="92"/>
      <c r="H2" s="92"/>
      <c r="I2" s="1"/>
    </row>
    <row r="3" spans="1:9" ht="1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01" t="s">
        <v>64</v>
      </c>
      <c r="C5" s="102"/>
      <c r="D5" s="102"/>
      <c r="E5" s="102"/>
      <c r="F5" s="102"/>
      <c r="G5" s="102"/>
      <c r="H5" s="103"/>
      <c r="I5" s="1"/>
    </row>
    <row r="6" spans="1:9" x14ac:dyDescent="0.25">
      <c r="A6" s="1"/>
      <c r="B6" s="104" t="s">
        <v>53</v>
      </c>
      <c r="C6" s="105"/>
      <c r="D6" s="105"/>
      <c r="E6" s="105"/>
      <c r="F6" s="106"/>
      <c r="G6" s="24">
        <v>4396305.5442659296</v>
      </c>
      <c r="H6" s="14" t="s">
        <v>3</v>
      </c>
      <c r="I6" s="1"/>
    </row>
    <row r="7" spans="1:9" x14ac:dyDescent="0.25">
      <c r="A7" s="1"/>
      <c r="B7" s="104" t="s">
        <v>54</v>
      </c>
      <c r="C7" s="105"/>
      <c r="D7" s="105"/>
      <c r="E7" s="105"/>
      <c r="F7" s="106"/>
      <c r="G7" s="24">
        <f>G6*'Fane 12. Nøgletal'!C27</f>
        <v>87926.110885318587</v>
      </c>
      <c r="H7" s="14" t="s">
        <v>3</v>
      </c>
      <c r="I7" s="1"/>
    </row>
    <row r="8" spans="1:9" x14ac:dyDescent="0.25">
      <c r="A8" s="1"/>
      <c r="B8" s="40"/>
      <c r="C8" s="41"/>
      <c r="D8" s="41"/>
      <c r="E8" s="41"/>
      <c r="F8" s="41"/>
      <c r="G8" s="41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1" t="s">
        <v>65</v>
      </c>
      <c r="C10" s="102"/>
      <c r="D10" s="102"/>
      <c r="E10" s="102"/>
      <c r="F10" s="102"/>
      <c r="G10" s="102"/>
      <c r="H10" s="103"/>
      <c r="I10" s="1"/>
    </row>
    <row r="11" spans="1:9" x14ac:dyDescent="0.25">
      <c r="A11" s="1"/>
      <c r="B11" s="104" t="s">
        <v>55</v>
      </c>
      <c r="C11" s="105"/>
      <c r="D11" s="105"/>
      <c r="E11" s="105"/>
      <c r="F11" s="106"/>
      <c r="G11" s="24">
        <f>(G6-G7)*(1+'Fane 12. Nøgletal'!C9)</f>
        <v>4363095.8521845443</v>
      </c>
      <c r="H11" s="14" t="s">
        <v>3</v>
      </c>
      <c r="I11" s="1"/>
    </row>
    <row r="12" spans="1:9" x14ac:dyDescent="0.25">
      <c r="A12" s="1"/>
      <c r="B12" s="107" t="s">
        <v>56</v>
      </c>
      <c r="C12" s="108"/>
      <c r="D12" s="108"/>
      <c r="E12" s="108"/>
      <c r="F12" s="109"/>
      <c r="G12" s="24">
        <v>0</v>
      </c>
      <c r="H12" s="14" t="s">
        <v>3</v>
      </c>
      <c r="I12" s="1"/>
    </row>
    <row r="13" spans="1:9" x14ac:dyDescent="0.25">
      <c r="A13" s="1"/>
      <c r="B13" s="104" t="s">
        <v>57</v>
      </c>
      <c r="C13" s="105"/>
      <c r="D13" s="105"/>
      <c r="E13" s="105"/>
      <c r="F13" s="106"/>
      <c r="G13" s="24">
        <f>(G11+G12)*'Fane 12. Nøgletal'!C27</f>
        <v>87261.91704369089</v>
      </c>
      <c r="H13" s="14" t="s">
        <v>3</v>
      </c>
      <c r="I13" s="1"/>
    </row>
    <row r="14" spans="1:9" x14ac:dyDescent="0.25">
      <c r="A14" s="1"/>
      <c r="B14" s="40"/>
      <c r="C14" s="41"/>
      <c r="D14" s="41"/>
      <c r="E14" s="41"/>
      <c r="F14" s="41"/>
      <c r="G14" s="41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1" t="s">
        <v>66</v>
      </c>
      <c r="C16" s="102"/>
      <c r="D16" s="102"/>
      <c r="E16" s="102"/>
      <c r="F16" s="102"/>
      <c r="G16" s="102"/>
      <c r="H16" s="103"/>
      <c r="I16" s="1"/>
    </row>
    <row r="17" spans="1:9" x14ac:dyDescent="0.25">
      <c r="A17" s="1"/>
      <c r="B17" s="104" t="s">
        <v>58</v>
      </c>
      <c r="C17" s="105"/>
      <c r="D17" s="105"/>
      <c r="E17" s="105"/>
      <c r="F17" s="106"/>
      <c r="G17" s="24">
        <f>(G11+G12-G13)*(1+'Fane 12. Nøgletal'!C11)</f>
        <v>4348095.5286447341</v>
      </c>
      <c r="H17" s="14" t="s">
        <v>3</v>
      </c>
      <c r="I17" s="1"/>
    </row>
    <row r="18" spans="1:9" x14ac:dyDescent="0.25">
      <c r="A18" s="1"/>
      <c r="B18" s="104" t="s">
        <v>158</v>
      </c>
      <c r="C18" s="105"/>
      <c r="D18" s="105"/>
      <c r="E18" s="105"/>
      <c r="F18" s="106"/>
      <c r="G18" s="24">
        <v>0</v>
      </c>
      <c r="H18" s="14" t="s">
        <v>3</v>
      </c>
      <c r="I18" s="1"/>
    </row>
    <row r="19" spans="1:9" x14ac:dyDescent="0.25">
      <c r="A19" s="1"/>
      <c r="B19" s="107" t="s">
        <v>59</v>
      </c>
      <c r="C19" s="108"/>
      <c r="D19" s="108"/>
      <c r="E19" s="108"/>
      <c r="F19" s="109"/>
      <c r="G19" s="24">
        <v>0</v>
      </c>
      <c r="H19" s="14" t="s">
        <v>3</v>
      </c>
      <c r="I19" s="1"/>
    </row>
    <row r="20" spans="1:9" x14ac:dyDescent="0.25">
      <c r="A20" s="1"/>
      <c r="B20" s="104" t="s">
        <v>60</v>
      </c>
      <c r="C20" s="105"/>
      <c r="D20" s="105"/>
      <c r="E20" s="105"/>
      <c r="F20" s="106"/>
      <c r="G20" s="24">
        <f>SUM(G17:G19)*'Fane 12. Nøgletal'!C27</f>
        <v>86961.910572894689</v>
      </c>
      <c r="H20" s="14" t="s">
        <v>3</v>
      </c>
      <c r="I20" s="1"/>
    </row>
    <row r="21" spans="1:9" x14ac:dyDescent="0.25">
      <c r="A21" s="1"/>
      <c r="B21" s="40"/>
      <c r="C21" s="41"/>
      <c r="D21" s="41"/>
      <c r="E21" s="41"/>
      <c r="F21" s="41"/>
      <c r="G21" s="41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1" t="s">
        <v>67</v>
      </c>
      <c r="C23" s="102"/>
      <c r="D23" s="102"/>
      <c r="E23" s="102"/>
      <c r="F23" s="102"/>
      <c r="G23" s="102"/>
      <c r="H23" s="103"/>
      <c r="I23" s="1"/>
    </row>
    <row r="24" spans="1:9" x14ac:dyDescent="0.25">
      <c r="A24" s="1"/>
      <c r="B24" s="104" t="s">
        <v>61</v>
      </c>
      <c r="C24" s="105"/>
      <c r="D24" s="105"/>
      <c r="E24" s="105"/>
      <c r="F24" s="106"/>
      <c r="G24" s="24">
        <f>(G17+G18+G19-G20)*(1+'Fane 12. Nøgletal'!C11)</f>
        <v>4333146.7762172529</v>
      </c>
      <c r="H24" s="14" t="s">
        <v>3</v>
      </c>
      <c r="I24" s="1"/>
    </row>
    <row r="25" spans="1:9" x14ac:dyDescent="0.25">
      <c r="A25" s="1"/>
      <c r="B25" s="107" t="s">
        <v>62</v>
      </c>
      <c r="C25" s="108"/>
      <c r="D25" s="108"/>
      <c r="E25" s="108"/>
      <c r="F25" s="109"/>
      <c r="G25" s="24">
        <v>0</v>
      </c>
      <c r="H25" s="14" t="s">
        <v>3</v>
      </c>
      <c r="I25" s="1"/>
    </row>
    <row r="26" spans="1:9" x14ac:dyDescent="0.25">
      <c r="A26" s="1"/>
      <c r="B26" s="104" t="s">
        <v>63</v>
      </c>
      <c r="C26" s="105"/>
      <c r="D26" s="105"/>
      <c r="E26" s="105"/>
      <c r="F26" s="106"/>
      <c r="G26" s="24">
        <f>(G24+G25)*'Fane 12. Nøgletal'!C27</f>
        <v>86662.935524345055</v>
      </c>
      <c r="H26" s="14" t="s">
        <v>3</v>
      </c>
      <c r="I26" s="1"/>
    </row>
    <row r="27" spans="1:9" x14ac:dyDescent="0.25">
      <c r="A27" s="1"/>
      <c r="B27" s="40"/>
      <c r="C27" s="41"/>
      <c r="D27" s="41"/>
      <c r="E27" s="41"/>
      <c r="F27" s="41"/>
      <c r="G27" s="41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1" t="s">
        <v>70</v>
      </c>
      <c r="C29" s="102"/>
      <c r="D29" s="102"/>
      <c r="E29" s="102"/>
      <c r="F29" s="102"/>
      <c r="G29" s="102"/>
      <c r="H29" s="103"/>
      <c r="I29" s="1"/>
    </row>
    <row r="30" spans="1:9" x14ac:dyDescent="0.25">
      <c r="A30" s="1"/>
      <c r="B30" s="104" t="s">
        <v>71</v>
      </c>
      <c r="C30" s="105"/>
      <c r="D30" s="105"/>
      <c r="E30" s="105"/>
      <c r="F30" s="106"/>
      <c r="G30" s="24">
        <f>G24*(1-'Fane 12. Nøgletal'!C27)*(1+'Fane 12. Nøgletal'!C11)+G25*(1-'Fane 12. Nøgletal'!C27)*(1+'Fane 12. Nøgletal'!C12)</f>
        <v>4318249.4176006177</v>
      </c>
      <c r="H30" s="14" t="s">
        <v>3</v>
      </c>
      <c r="I30" s="1"/>
    </row>
    <row r="31" spans="1:9" x14ac:dyDescent="0.25">
      <c r="A31" s="1"/>
      <c r="B31" s="110" t="s">
        <v>154</v>
      </c>
      <c r="C31" s="111"/>
      <c r="D31" s="111"/>
      <c r="E31" s="111"/>
      <c r="F31" s="112"/>
      <c r="G31" s="24">
        <f>G25*(1-'Fane 12. Nøgletal'!C27)*(1+'Fane 12. Nøgletal'!C12)</f>
        <v>0</v>
      </c>
      <c r="H31" s="14" t="s">
        <v>3</v>
      </c>
      <c r="I31" s="1"/>
    </row>
    <row r="32" spans="1:9" x14ac:dyDescent="0.25">
      <c r="A32" s="1"/>
      <c r="B32" s="104" t="s">
        <v>199</v>
      </c>
      <c r="C32" s="105"/>
      <c r="D32" s="105"/>
      <c r="E32" s="105"/>
      <c r="F32" s="106"/>
      <c r="G32" s="24">
        <f>SUM('Fane 2.1. Økonomisk ramme 2021'!C12,'Fane 2.1. Økonomisk ramme 2021'!C14,'Fane 2.1. Økonomisk ramme 2021'!C16)*(1+'Fane 12. Nøgletal'!C13)</f>
        <v>0</v>
      </c>
      <c r="H32" s="14" t="s">
        <v>3</v>
      </c>
      <c r="I32" s="1"/>
    </row>
    <row r="33" spans="1:9" x14ac:dyDescent="0.25">
      <c r="A33" s="1"/>
      <c r="B33" s="104" t="s">
        <v>72</v>
      </c>
      <c r="C33" s="105"/>
      <c r="D33" s="105"/>
      <c r="E33" s="105"/>
      <c r="F33" s="106"/>
      <c r="G33" s="24">
        <f>(G30+G32)*'Fane 12. Nøgletal'!C27</f>
        <v>86364.988352012355</v>
      </c>
      <c r="H33" s="14" t="s">
        <v>3</v>
      </c>
      <c r="I33" s="1"/>
    </row>
    <row r="34" spans="1:9" x14ac:dyDescent="0.25">
      <c r="A34" s="1"/>
      <c r="B34" s="40"/>
      <c r="C34" s="41"/>
      <c r="D34" s="41"/>
      <c r="E34" s="41"/>
      <c r="F34" s="41"/>
      <c r="G34" s="41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1" t="s">
        <v>139</v>
      </c>
      <c r="C36" s="102"/>
      <c r="D36" s="102"/>
      <c r="E36" s="102"/>
      <c r="F36" s="102"/>
      <c r="G36" s="102"/>
      <c r="H36" s="103"/>
      <c r="I36" s="1"/>
    </row>
    <row r="37" spans="1:9" x14ac:dyDescent="0.25">
      <c r="A37" s="1"/>
      <c r="B37" s="104" t="s">
        <v>94</v>
      </c>
      <c r="C37" s="105"/>
      <c r="D37" s="105"/>
      <c r="E37" s="105"/>
      <c r="F37" s="106"/>
      <c r="G37" s="24">
        <f>(G30-G31)*(1-'Fane 12. Nøgletal'!C27)*(1+'Fane 12. Nøgletal'!C11)+G31*(1-'Fane 12. Nøgletal'!C27)*(1+'Fane 12. Nøgletal'!C12)+G32*(1-'Fane 12. Nøgletal'!C27)*(1+'Fane 12. Nøgletal'!C13)</f>
        <v>4303403.2761029061</v>
      </c>
      <c r="H37" s="14" t="s">
        <v>3</v>
      </c>
      <c r="I37" s="1"/>
    </row>
    <row r="38" spans="1:9" x14ac:dyDescent="0.25">
      <c r="A38" s="1"/>
      <c r="B38" s="110" t="s">
        <v>154</v>
      </c>
      <c r="C38" s="111"/>
      <c r="D38" s="111"/>
      <c r="E38" s="111"/>
      <c r="F38" s="112"/>
      <c r="G38" s="24">
        <f>G31*(1-'Fane 12. Nøgletal'!C27)*(1+'Fane 12. Nøgletal'!C12)</f>
        <v>0</v>
      </c>
      <c r="H38" s="14" t="s">
        <v>3</v>
      </c>
      <c r="I38" s="1"/>
    </row>
    <row r="39" spans="1:9" x14ac:dyDescent="0.25">
      <c r="A39" s="1"/>
      <c r="B39" s="110" t="s">
        <v>205</v>
      </c>
      <c r="C39" s="105"/>
      <c r="D39" s="105"/>
      <c r="E39" s="105"/>
      <c r="F39" s="106"/>
      <c r="G39" s="24">
        <f>G32*(1-'Fane 12. Nøgletal'!C27)*(1+'Fane 12. Nøgletal'!C13)</f>
        <v>0</v>
      </c>
      <c r="H39" s="14" t="s">
        <v>3</v>
      </c>
      <c r="I39" s="1"/>
    </row>
    <row r="40" spans="1:9" x14ac:dyDescent="0.25">
      <c r="A40" s="1"/>
      <c r="B40" s="104" t="s">
        <v>106</v>
      </c>
      <c r="C40" s="105"/>
      <c r="D40" s="105"/>
      <c r="E40" s="105"/>
      <c r="F40" s="106"/>
      <c r="G40" s="24">
        <f>-'Fane 11. Bortfald'!C18*(1+'Fane 12. Nøgletal'!C13)</f>
        <v>0</v>
      </c>
      <c r="H40" s="14" t="s">
        <v>3</v>
      </c>
      <c r="I40" s="1"/>
    </row>
    <row r="41" spans="1:9" x14ac:dyDescent="0.25">
      <c r="A41" s="1"/>
      <c r="B41" s="104" t="s">
        <v>155</v>
      </c>
      <c r="C41" s="105"/>
      <c r="D41" s="105"/>
      <c r="E41" s="105"/>
      <c r="F41" s="106"/>
      <c r="G41" s="24">
        <f>(G37+G40)*'Fane 12. Nøgletal'!C27</f>
        <v>86068.065522058125</v>
      </c>
      <c r="H41" s="14" t="s">
        <v>3</v>
      </c>
      <c r="I41" s="1"/>
    </row>
    <row r="42" spans="1:9" x14ac:dyDescent="0.25">
      <c r="A42" s="1"/>
      <c r="B42" s="40"/>
      <c r="C42" s="41"/>
      <c r="D42" s="41"/>
      <c r="E42" s="41"/>
      <c r="F42" s="41"/>
      <c r="G42" s="41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1" t="s">
        <v>95</v>
      </c>
      <c r="C44" s="102"/>
      <c r="D44" s="102"/>
      <c r="E44" s="102"/>
      <c r="F44" s="102"/>
      <c r="G44" s="102"/>
      <c r="H44" s="103"/>
      <c r="I44" s="1"/>
    </row>
    <row r="45" spans="1:9" x14ac:dyDescent="0.25">
      <c r="A45" s="1"/>
      <c r="B45" s="104" t="s">
        <v>93</v>
      </c>
      <c r="C45" s="105"/>
      <c r="D45" s="105"/>
      <c r="E45" s="105"/>
      <c r="F45" s="106"/>
      <c r="G45" s="24">
        <f>(G37+G40-G41)*(1+'Fane 12. Nøgletal'!C13)</f>
        <v>4268786.7001499347</v>
      </c>
      <c r="H45" s="14" t="s">
        <v>3</v>
      </c>
      <c r="I45" s="1"/>
    </row>
    <row r="46" spans="1:9" x14ac:dyDescent="0.25">
      <c r="A46" s="1"/>
      <c r="B46" s="104" t="s">
        <v>107</v>
      </c>
      <c r="C46" s="105"/>
      <c r="D46" s="105"/>
      <c r="E46" s="105"/>
      <c r="F46" s="106"/>
      <c r="G46" s="24">
        <f>-'Fane 11. Bortfald'!C24*(1+'Fane 12. Nøgletal'!C13)</f>
        <v>0</v>
      </c>
      <c r="H46" s="14" t="s">
        <v>3</v>
      </c>
      <c r="I46" s="1"/>
    </row>
    <row r="47" spans="1:9" x14ac:dyDescent="0.25">
      <c r="A47" s="1"/>
      <c r="B47" s="104" t="s">
        <v>73</v>
      </c>
      <c r="C47" s="105"/>
      <c r="D47" s="105"/>
      <c r="E47" s="105"/>
      <c r="F47" s="106"/>
      <c r="G47" s="24">
        <f>(G45+G46)*'Fane 12. Nøgletal'!C27</f>
        <v>85375.734002998695</v>
      </c>
      <c r="H47" s="14" t="s">
        <v>3</v>
      </c>
      <c r="I47" s="1"/>
    </row>
    <row r="48" spans="1:9" x14ac:dyDescent="0.25">
      <c r="A48" s="1"/>
      <c r="B48" s="40"/>
      <c r="C48" s="41"/>
      <c r="D48" s="41"/>
      <c r="E48" s="41"/>
      <c r="F48" s="41"/>
      <c r="G48" s="41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01" t="s">
        <v>200</v>
      </c>
      <c r="C52" s="102"/>
      <c r="D52" s="102"/>
      <c r="E52" s="102"/>
      <c r="F52" s="102"/>
      <c r="G52" s="102"/>
      <c r="H52" s="103"/>
      <c r="I52" s="1"/>
    </row>
    <row r="53" spans="1:9" x14ac:dyDescent="0.25">
      <c r="A53" s="1"/>
      <c r="B53" s="104" t="s">
        <v>201</v>
      </c>
      <c r="C53" s="105"/>
      <c r="D53" s="105"/>
      <c r="E53" s="105"/>
      <c r="F53" s="106"/>
      <c r="G53" s="24">
        <f>(G45+G46-G47)*(1+'Fane 12. Nøgletal'!C13)</f>
        <v>4234448.5799339283</v>
      </c>
      <c r="H53" s="14" t="s">
        <v>3</v>
      </c>
      <c r="I53" s="1"/>
    </row>
    <row r="54" spans="1:9" x14ac:dyDescent="0.25">
      <c r="A54" s="1"/>
      <c r="B54" s="104" t="s">
        <v>202</v>
      </c>
      <c r="C54" s="105"/>
      <c r="D54" s="105"/>
      <c r="E54" s="105"/>
      <c r="F54" s="106"/>
      <c r="G54" s="24">
        <f>-'Fane 11. Bortfald'!C30*(1+'Fane 12. Nøgletal'!C13)</f>
        <v>0</v>
      </c>
      <c r="H54" s="14" t="s">
        <v>3</v>
      </c>
      <c r="I54" s="1"/>
    </row>
    <row r="55" spans="1:9" x14ac:dyDescent="0.25">
      <c r="A55" s="1"/>
      <c r="B55" s="104" t="s">
        <v>203</v>
      </c>
      <c r="C55" s="105"/>
      <c r="D55" s="105"/>
      <c r="E55" s="105"/>
      <c r="F55" s="106"/>
      <c r="G55" s="24">
        <f>(G53+G54)*'Fane 12. Nøgletal'!C27</f>
        <v>84688.971598678574</v>
      </c>
      <c r="H55" s="14" t="s">
        <v>3</v>
      </c>
      <c r="I55" s="1"/>
    </row>
    <row r="56" spans="1:9" x14ac:dyDescent="0.25">
      <c r="A56" s="1"/>
      <c r="B56" s="40"/>
      <c r="C56" s="41"/>
      <c r="D56" s="41"/>
      <c r="E56" s="41"/>
      <c r="F56" s="41"/>
      <c r="G56" s="41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qtgm3VE7CxferjcloSdS//VI+quDaagua0hIAv5/yCr9PxRp/euC6d0SPXTHU0DihSo/j9wMYU9HVWoDCW4fLQ==" saltValue="F8C3Am6KS1pw5/dGh10GgQ==" spinCount="100000" sheet="1" objects="1" scenarios="1"/>
  <mergeCells count="36">
    <mergeCell ref="B52:H52"/>
    <mergeCell ref="B53:F53"/>
    <mergeCell ref="B54:F54"/>
    <mergeCell ref="B55:F55"/>
    <mergeCell ref="B29:H29"/>
    <mergeCell ref="B30:F30"/>
    <mergeCell ref="B36:H36"/>
    <mergeCell ref="B41:F41"/>
    <mergeCell ref="B38:F38"/>
    <mergeCell ref="B39:F39"/>
    <mergeCell ref="B44:H44"/>
    <mergeCell ref="B45:F45"/>
    <mergeCell ref="B47:F47"/>
    <mergeCell ref="B40:F40"/>
    <mergeCell ref="B46:F46"/>
    <mergeCell ref="B24:F24"/>
    <mergeCell ref="B25:F25"/>
    <mergeCell ref="B26:F26"/>
    <mergeCell ref="B37:F37"/>
    <mergeCell ref="B32:F32"/>
    <mergeCell ref="B33:F33"/>
    <mergeCell ref="B31:F31"/>
    <mergeCell ref="B16:H16"/>
    <mergeCell ref="B23:H23"/>
    <mergeCell ref="B12:F12"/>
    <mergeCell ref="B13:F13"/>
    <mergeCell ref="B17:F17"/>
    <mergeCell ref="B19:F19"/>
    <mergeCell ref="B18:F18"/>
    <mergeCell ref="B20:F20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6"/>
      <c r="C1" s="36"/>
      <c r="D1" s="36"/>
      <c r="E1" s="36"/>
      <c r="F1" s="36"/>
      <c r="G1" s="36"/>
      <c r="H1" s="36"/>
      <c r="I1" s="1"/>
    </row>
    <row r="2" spans="1:9" ht="21" customHeight="1" x14ac:dyDescent="0.25">
      <c r="A2" s="1"/>
      <c r="B2" s="92" t="s">
        <v>141</v>
      </c>
      <c r="C2" s="92"/>
      <c r="D2" s="92"/>
      <c r="E2" s="92"/>
      <c r="F2" s="92"/>
      <c r="G2" s="92"/>
      <c r="H2" s="92"/>
      <c r="I2" s="1"/>
    </row>
    <row r="3" spans="1:9" ht="18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25">
      <c r="A4" s="1"/>
      <c r="B4" s="37"/>
      <c r="C4" s="37"/>
      <c r="D4" s="37"/>
      <c r="E4" s="37"/>
      <c r="F4" s="37"/>
      <c r="G4" s="37"/>
      <c r="H4" s="37"/>
      <c r="I4" s="1"/>
    </row>
    <row r="5" spans="1:9" x14ac:dyDescent="0.25">
      <c r="A5" s="1"/>
      <c r="B5" s="101" t="s">
        <v>68</v>
      </c>
      <c r="C5" s="102"/>
      <c r="D5" s="102"/>
      <c r="E5" s="102"/>
      <c r="F5" s="102"/>
      <c r="G5" s="102"/>
      <c r="H5" s="103"/>
      <c r="I5" s="1"/>
    </row>
    <row r="6" spans="1:9" x14ac:dyDescent="0.25">
      <c r="A6" s="1"/>
      <c r="B6" s="104" t="s">
        <v>74</v>
      </c>
      <c r="C6" s="105"/>
      <c r="D6" s="105"/>
      <c r="E6" s="105"/>
      <c r="F6" s="106"/>
      <c r="G6" s="24">
        <v>5403961.7650198843</v>
      </c>
      <c r="H6" s="14" t="s">
        <v>3</v>
      </c>
      <c r="I6" s="1"/>
    </row>
    <row r="7" spans="1:9" x14ac:dyDescent="0.25">
      <c r="A7" s="1"/>
      <c r="B7" s="104" t="s">
        <v>69</v>
      </c>
      <c r="C7" s="105"/>
      <c r="D7" s="105"/>
      <c r="E7" s="105"/>
      <c r="F7" s="106"/>
      <c r="G7" s="24">
        <f>G6*'Fane 12. Nøgletal'!C18</f>
        <v>49176.052061680952</v>
      </c>
      <c r="H7" s="14" t="s">
        <v>3</v>
      </c>
      <c r="I7" s="1"/>
    </row>
    <row r="8" spans="1:9" x14ac:dyDescent="0.25">
      <c r="A8" s="1"/>
      <c r="B8" s="40"/>
      <c r="C8" s="41"/>
      <c r="D8" s="41"/>
      <c r="E8" s="41"/>
      <c r="F8" s="41"/>
      <c r="G8" s="41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1" t="s">
        <v>75</v>
      </c>
      <c r="C10" s="102"/>
      <c r="D10" s="102"/>
      <c r="E10" s="102"/>
      <c r="F10" s="102"/>
      <c r="G10" s="102"/>
      <c r="H10" s="103"/>
      <c r="I10" s="1"/>
    </row>
    <row r="11" spans="1:9" x14ac:dyDescent="0.25">
      <c r="A11" s="1"/>
      <c r="B11" s="104" t="s">
        <v>76</v>
      </c>
      <c r="C11" s="105"/>
      <c r="D11" s="105"/>
      <c r="E11" s="105"/>
      <c r="F11" s="106"/>
      <c r="G11" s="24">
        <f>(G6-G7)*(1+'Fane 12. Nøgletal'!C9)</f>
        <v>5422791.4915127726</v>
      </c>
      <c r="H11" s="14" t="s">
        <v>3</v>
      </c>
      <c r="I11" s="1"/>
    </row>
    <row r="12" spans="1:9" x14ac:dyDescent="0.25">
      <c r="A12" s="1"/>
      <c r="B12" s="107" t="s">
        <v>77</v>
      </c>
      <c r="C12" s="108"/>
      <c r="D12" s="108"/>
      <c r="E12" s="108"/>
      <c r="F12" s="109"/>
      <c r="G12" s="24">
        <v>0</v>
      </c>
      <c r="H12" s="14" t="s">
        <v>3</v>
      </c>
      <c r="I12" s="1"/>
    </row>
    <row r="13" spans="1:9" x14ac:dyDescent="0.25">
      <c r="A13" s="1"/>
      <c r="B13" s="104" t="s">
        <v>78</v>
      </c>
      <c r="C13" s="105"/>
      <c r="D13" s="105"/>
      <c r="E13" s="105"/>
      <c r="F13" s="106"/>
      <c r="G13" s="24">
        <f>G11*'Fane 12. Nøgletal'!C18+G12*'Fane 12. Nøgletal'!C19</f>
        <v>49347.40257276623</v>
      </c>
      <c r="H13" s="14" t="s">
        <v>3</v>
      </c>
      <c r="I13" s="1"/>
    </row>
    <row r="14" spans="1:9" x14ac:dyDescent="0.25">
      <c r="A14" s="1"/>
      <c r="B14" s="40"/>
      <c r="C14" s="41"/>
      <c r="D14" s="41"/>
      <c r="E14" s="41"/>
      <c r="F14" s="41"/>
      <c r="G14" s="41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1" t="s">
        <v>79</v>
      </c>
      <c r="C16" s="102"/>
      <c r="D16" s="102"/>
      <c r="E16" s="102"/>
      <c r="F16" s="102"/>
      <c r="G16" s="102"/>
      <c r="H16" s="103"/>
      <c r="I16" s="1"/>
    </row>
    <row r="17" spans="1:9" x14ac:dyDescent="0.25">
      <c r="A17" s="1"/>
      <c r="B17" s="104" t="s">
        <v>80</v>
      </c>
      <c r="C17" s="105"/>
      <c r="D17" s="105"/>
      <c r="E17" s="105"/>
      <c r="F17" s="106"/>
      <c r="G17" s="24">
        <f>(G11+G12-G13)*(1+'Fane 12. Nøgletal'!C11)</f>
        <v>5464255.2940430921</v>
      </c>
      <c r="H17" s="14" t="s">
        <v>3</v>
      </c>
      <c r="I17" s="1"/>
    </row>
    <row r="18" spans="1:9" x14ac:dyDescent="0.25">
      <c r="A18" s="1"/>
      <c r="B18" s="104" t="s">
        <v>159</v>
      </c>
      <c r="C18" s="105"/>
      <c r="D18" s="105"/>
      <c r="E18" s="105"/>
      <c r="F18" s="106"/>
      <c r="G18" s="24">
        <v>5327.5216425014505</v>
      </c>
      <c r="H18" s="14" t="s">
        <v>3</v>
      </c>
      <c r="I18" s="1"/>
    </row>
    <row r="19" spans="1:9" x14ac:dyDescent="0.25">
      <c r="A19" s="1"/>
      <c r="B19" s="107" t="s">
        <v>81</v>
      </c>
      <c r="C19" s="108"/>
      <c r="D19" s="108"/>
      <c r="E19" s="108"/>
      <c r="F19" s="109"/>
      <c r="G19" s="24">
        <v>0</v>
      </c>
      <c r="H19" s="14" t="s">
        <v>3</v>
      </c>
      <c r="I19" s="1"/>
    </row>
    <row r="20" spans="1:9" x14ac:dyDescent="0.25">
      <c r="A20" s="1"/>
      <c r="B20" s="104" t="s">
        <v>82</v>
      </c>
      <c r="C20" s="105"/>
      <c r="D20" s="105"/>
      <c r="E20" s="105"/>
      <c r="F20" s="106"/>
      <c r="G20" s="24">
        <f>SUM(G17:G19)*'Fane 12. Nøgletal'!C20</f>
        <v>47585.37049646466</v>
      </c>
      <c r="H20" s="14" t="s">
        <v>3</v>
      </c>
      <c r="I20" s="1"/>
    </row>
    <row r="21" spans="1:9" x14ac:dyDescent="0.25">
      <c r="A21" s="1"/>
      <c r="B21" s="40"/>
      <c r="C21" s="41"/>
      <c r="D21" s="41"/>
      <c r="E21" s="41"/>
      <c r="F21" s="41"/>
      <c r="G21" s="41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1" t="s">
        <v>83</v>
      </c>
      <c r="C23" s="102"/>
      <c r="D23" s="102"/>
      <c r="E23" s="102"/>
      <c r="F23" s="102"/>
      <c r="G23" s="102"/>
      <c r="H23" s="103"/>
      <c r="I23" s="1"/>
    </row>
    <row r="24" spans="1:9" x14ac:dyDescent="0.25">
      <c r="A24" s="1"/>
      <c r="B24" s="104" t="s">
        <v>84</v>
      </c>
      <c r="C24" s="105"/>
      <c r="D24" s="105"/>
      <c r="E24" s="105"/>
      <c r="F24" s="106"/>
      <c r="G24" s="24">
        <f>(G17+G18+G19-G20)*(1+'Fane 12. Nøgletal'!C11)</f>
        <v>5513629.2020128248</v>
      </c>
      <c r="H24" s="14" t="s">
        <v>3</v>
      </c>
      <c r="I24" s="1"/>
    </row>
    <row r="25" spans="1:9" x14ac:dyDescent="0.25">
      <c r="A25" s="1"/>
      <c r="B25" s="107" t="s">
        <v>85</v>
      </c>
      <c r="C25" s="108"/>
      <c r="D25" s="108"/>
      <c r="E25" s="108"/>
      <c r="F25" s="109"/>
      <c r="G25" s="24">
        <v>0</v>
      </c>
      <c r="H25" s="14" t="s">
        <v>3</v>
      </c>
      <c r="I25" s="1"/>
    </row>
    <row r="26" spans="1:9" x14ac:dyDescent="0.25">
      <c r="A26" s="1"/>
      <c r="B26" s="104" t="s">
        <v>86</v>
      </c>
      <c r="C26" s="105"/>
      <c r="D26" s="105"/>
      <c r="E26" s="105"/>
      <c r="F26" s="106"/>
      <c r="G26" s="24">
        <f>G24*'Fane 12. Nøgletal'!C20+G25*'Fane 12. Nøgletal'!C21</f>
        <v>47968.574057511571</v>
      </c>
      <c r="H26" s="14" t="s">
        <v>3</v>
      </c>
      <c r="I26" s="1"/>
    </row>
    <row r="27" spans="1:9" x14ac:dyDescent="0.25">
      <c r="A27" s="1"/>
      <c r="B27" s="40"/>
      <c r="C27" s="41"/>
      <c r="D27" s="41"/>
      <c r="E27" s="41"/>
      <c r="F27" s="41"/>
      <c r="G27" s="41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1" t="s">
        <v>87</v>
      </c>
      <c r="C29" s="102"/>
      <c r="D29" s="102"/>
      <c r="E29" s="102"/>
      <c r="F29" s="102"/>
      <c r="G29" s="102"/>
      <c r="H29" s="103"/>
      <c r="I29" s="1"/>
    </row>
    <row r="30" spans="1:9" x14ac:dyDescent="0.25">
      <c r="A30" s="1"/>
      <c r="B30" s="104" t="s">
        <v>88</v>
      </c>
      <c r="C30" s="105"/>
      <c r="D30" s="105"/>
      <c r="E30" s="105"/>
      <c r="F30" s="106"/>
      <c r="G30" s="24">
        <f>G24*(1-'Fane 12. Nøgletal'!C20)*(1+'Fane 12. Nøgletal'!C11)+G25*(1-'Fane 12. Nøgletal'!C21)*(1+'Fane 12. Nøgletal'!C12)</f>
        <v>5558030.292567757</v>
      </c>
      <c r="H30" s="14" t="s">
        <v>3</v>
      </c>
      <c r="I30" s="1"/>
    </row>
    <row r="31" spans="1:9" x14ac:dyDescent="0.25">
      <c r="A31" s="1"/>
      <c r="B31" s="110" t="s">
        <v>156</v>
      </c>
      <c r="C31" s="111"/>
      <c r="D31" s="111"/>
      <c r="E31" s="111"/>
      <c r="F31" s="112"/>
      <c r="G31" s="24">
        <f>G25*(1-'Fane 12. Nøgletal'!C21)*(1+'Fane 12. Nøgletal'!C12)</f>
        <v>0</v>
      </c>
      <c r="H31" s="14" t="s">
        <v>3</v>
      </c>
      <c r="I31" s="1"/>
    </row>
    <row r="32" spans="1:9" x14ac:dyDescent="0.25">
      <c r="A32" s="1"/>
      <c r="B32" s="104" t="s">
        <v>204</v>
      </c>
      <c r="C32" s="105"/>
      <c r="D32" s="105"/>
      <c r="E32" s="105"/>
      <c r="F32" s="106"/>
      <c r="G32" s="24">
        <f>SUM('Fane 2.1. Økonomisk ramme 2021'!C13,'Fane 2.1. Økonomisk ramme 2021'!C15,'Fane 2.1. Økonomisk ramme 2021'!C17)*(1+'Fane 12. Nøgletal'!C13)</f>
        <v>0</v>
      </c>
      <c r="H32" s="14" t="s">
        <v>3</v>
      </c>
      <c r="I32" s="1"/>
    </row>
    <row r="33" spans="1:9" x14ac:dyDescent="0.25">
      <c r="A33" s="1"/>
      <c r="B33" s="104" t="s">
        <v>89</v>
      </c>
      <c r="C33" s="105"/>
      <c r="D33" s="105"/>
      <c r="E33" s="105"/>
      <c r="F33" s="106"/>
      <c r="G33" s="24">
        <f>(G30-G31)*'Fane 12. Nøgletal'!C20+G31*'Fane 12. Nøgletal'!C21+G32*'Fane 12. Nøgletal'!C22</f>
        <v>48354.863545339482</v>
      </c>
      <c r="H33" s="14" t="s">
        <v>3</v>
      </c>
      <c r="I33" s="1"/>
    </row>
    <row r="34" spans="1:9" x14ac:dyDescent="0.25">
      <c r="A34" s="1"/>
      <c r="B34" s="40"/>
      <c r="C34" s="41"/>
      <c r="D34" s="41"/>
      <c r="E34" s="41"/>
      <c r="F34" s="41"/>
      <c r="G34" s="41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1" t="s">
        <v>138</v>
      </c>
      <c r="C36" s="102"/>
      <c r="D36" s="102"/>
      <c r="E36" s="102"/>
      <c r="F36" s="102"/>
      <c r="G36" s="102"/>
      <c r="H36" s="103"/>
      <c r="I36" s="1"/>
    </row>
    <row r="37" spans="1:9" x14ac:dyDescent="0.25">
      <c r="A37" s="1"/>
      <c r="B37" s="104" t="s">
        <v>92</v>
      </c>
      <c r="C37" s="105"/>
      <c r="D37" s="105"/>
      <c r="E37" s="105"/>
      <c r="F37" s="106"/>
      <c r="G37" s="24">
        <f>(G30-G31)*(1-'Fane 12. Nøgletal'!C20)*(1+'Fane 12. Nøgletal'!C11)+G31*(1-'Fane 12. Nøgletal'!C22)*(1+'Fane 12. Nøgletal'!C12)+G32*(1-'Fane 12. Nøgletal'!C22)*(1+'Fane 12. Nøgletal'!C13)</f>
        <v>5602788.9437728962</v>
      </c>
      <c r="H37" s="14" t="s">
        <v>3</v>
      </c>
      <c r="I37" s="1"/>
    </row>
    <row r="38" spans="1:9" x14ac:dyDescent="0.25">
      <c r="A38" s="1"/>
      <c r="B38" s="110" t="s">
        <v>156</v>
      </c>
      <c r="C38" s="111"/>
      <c r="D38" s="111"/>
      <c r="E38" s="111"/>
      <c r="F38" s="112"/>
      <c r="G38" s="24">
        <f>G31*(1-'Fane 12. Nøgletal'!C22)*(1+'Fane 12. Nøgletal'!C12)</f>
        <v>0</v>
      </c>
      <c r="H38" s="14" t="s">
        <v>3</v>
      </c>
      <c r="I38" s="1"/>
    </row>
    <row r="39" spans="1:9" x14ac:dyDescent="0.25">
      <c r="A39" s="1"/>
      <c r="B39" s="110" t="s">
        <v>206</v>
      </c>
      <c r="C39" s="111"/>
      <c r="D39" s="111"/>
      <c r="E39" s="111"/>
      <c r="F39" s="112"/>
      <c r="G39" s="24">
        <f>G32*(1-'Fane 12. Nøgletal'!C22)*(1+'Fane 12. Nøgletal'!C13)</f>
        <v>0</v>
      </c>
      <c r="H39" s="14" t="s">
        <v>3</v>
      </c>
      <c r="I39" s="1"/>
    </row>
    <row r="40" spans="1:9" x14ac:dyDescent="0.25">
      <c r="A40" s="1"/>
      <c r="B40" s="104" t="s">
        <v>111</v>
      </c>
      <c r="C40" s="105"/>
      <c r="D40" s="105"/>
      <c r="E40" s="105"/>
      <c r="F40" s="106"/>
      <c r="G40" s="24">
        <f>-'Fane 11. Bortfald'!E18*(1+'Fane 12. Nøgletal'!C13)</f>
        <v>0</v>
      </c>
      <c r="H40" s="14" t="s">
        <v>3</v>
      </c>
      <c r="I40" s="1"/>
    </row>
    <row r="41" spans="1:9" x14ac:dyDescent="0.25">
      <c r="A41" s="1"/>
      <c r="B41" s="104" t="s">
        <v>216</v>
      </c>
      <c r="C41" s="105"/>
      <c r="D41" s="105"/>
      <c r="E41" s="105"/>
      <c r="F41" s="106"/>
      <c r="G41" s="24">
        <f>(G37-SUM(G38:G39))*'Fane 12. Nøgletal'!C20+G38*'Fane 12. Nøgletal'!C21+(G39+G40)*'Fane 12. Nøgletal'!C22</f>
        <v>48744.263810824195</v>
      </c>
      <c r="H41" s="14" t="s">
        <v>3</v>
      </c>
      <c r="I41" s="1"/>
    </row>
    <row r="42" spans="1:9" x14ac:dyDescent="0.25">
      <c r="A42" s="1"/>
      <c r="B42" s="40"/>
      <c r="C42" s="41"/>
      <c r="D42" s="41"/>
      <c r="E42" s="41"/>
      <c r="F42" s="41"/>
      <c r="G42" s="41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1" t="s">
        <v>96</v>
      </c>
      <c r="C44" s="102"/>
      <c r="D44" s="102"/>
      <c r="E44" s="102"/>
      <c r="F44" s="102"/>
      <c r="G44" s="102"/>
      <c r="H44" s="103"/>
      <c r="I44" s="1"/>
    </row>
    <row r="45" spans="1:9" x14ac:dyDescent="0.25">
      <c r="A45" s="1"/>
      <c r="B45" s="104" t="s">
        <v>91</v>
      </c>
      <c r="C45" s="105"/>
      <c r="D45" s="105"/>
      <c r="E45" s="105"/>
      <c r="F45" s="106"/>
      <c r="G45" s="24">
        <f>(G37+G40-G41)*(1+'Fane 12. Nøgletal'!C13)</f>
        <v>5621804.0250576092</v>
      </c>
      <c r="H45" s="14" t="s">
        <v>3</v>
      </c>
      <c r="I45" s="1"/>
    </row>
    <row r="46" spans="1:9" x14ac:dyDescent="0.25">
      <c r="A46" s="1"/>
      <c r="B46" s="104" t="s">
        <v>112</v>
      </c>
      <c r="C46" s="105"/>
      <c r="D46" s="105"/>
      <c r="E46" s="105"/>
      <c r="F46" s="106"/>
      <c r="G46" s="24">
        <f>-'Fane 11. Bortfald'!E24*(1+'Fane 12. Nøgletal'!C13)</f>
        <v>0</v>
      </c>
      <c r="H46" s="14" t="s">
        <v>3</v>
      </c>
      <c r="I46" s="1"/>
    </row>
    <row r="47" spans="1:9" x14ac:dyDescent="0.25">
      <c r="A47" s="1"/>
      <c r="B47" s="104" t="s">
        <v>90</v>
      </c>
      <c r="C47" s="105"/>
      <c r="D47" s="105"/>
      <c r="E47" s="105"/>
      <c r="F47" s="106"/>
      <c r="G47" s="24">
        <f>(G45+G46)*'Fane 12. Nøgletal'!C22</f>
        <v>154599.61068908425</v>
      </c>
      <c r="H47" s="14" t="s">
        <v>3</v>
      </c>
      <c r="I47" s="1"/>
    </row>
    <row r="48" spans="1:9" x14ac:dyDescent="0.25">
      <c r="A48" s="1"/>
      <c r="B48" s="40"/>
      <c r="C48" s="41"/>
      <c r="D48" s="41"/>
      <c r="E48" s="41"/>
      <c r="F48" s="41"/>
      <c r="G48" s="41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1" t="s">
        <v>207</v>
      </c>
      <c r="C51" s="102"/>
      <c r="D51" s="102"/>
      <c r="E51" s="102"/>
      <c r="F51" s="102"/>
      <c r="G51" s="102"/>
      <c r="H51" s="103"/>
      <c r="I51" s="1"/>
    </row>
    <row r="52" spans="1:9" x14ac:dyDescent="0.25">
      <c r="A52" s="1"/>
      <c r="B52" s="104" t="s">
        <v>208</v>
      </c>
      <c r="C52" s="105"/>
      <c r="D52" s="105"/>
      <c r="E52" s="105"/>
      <c r="F52" s="106"/>
      <c r="G52" s="24">
        <f>(G45+G46-G47)*(1+'Fane 12. Nøgletal'!C13)</f>
        <v>5533904.3082238212</v>
      </c>
      <c r="H52" s="14" t="s">
        <v>3</v>
      </c>
      <c r="I52" s="1"/>
    </row>
    <row r="53" spans="1:9" x14ac:dyDescent="0.25">
      <c r="A53" s="1"/>
      <c r="B53" s="104" t="s">
        <v>209</v>
      </c>
      <c r="C53" s="105"/>
      <c r="D53" s="105"/>
      <c r="E53" s="105"/>
      <c r="F53" s="106"/>
      <c r="G53" s="24">
        <f>-'Fane 11. Bortfald'!E30*(1+'Fane 12. Nøgletal'!C13)</f>
        <v>0</v>
      </c>
      <c r="H53" s="14" t="s">
        <v>3</v>
      </c>
      <c r="I53" s="1"/>
    </row>
    <row r="54" spans="1:9" x14ac:dyDescent="0.25">
      <c r="A54" s="1"/>
      <c r="B54" s="104" t="s">
        <v>210</v>
      </c>
      <c r="C54" s="105"/>
      <c r="D54" s="105"/>
      <c r="E54" s="105"/>
      <c r="F54" s="106"/>
      <c r="G54" s="24">
        <f>(G52+G53)*'Fane 12. Nøgletal'!C22</f>
        <v>152182.3684761551</v>
      </c>
      <c r="H54" s="14" t="s">
        <v>3</v>
      </c>
      <c r="I54" s="1"/>
    </row>
    <row r="55" spans="1:9" x14ac:dyDescent="0.25">
      <c r="A55" s="1"/>
      <c r="B55" s="40"/>
      <c r="C55" s="41"/>
      <c r="D55" s="41"/>
      <c r="E55" s="41"/>
      <c r="F55" s="41"/>
      <c r="G55" s="41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ymkfngI2oLUnpADSDc7KFXmS0AJnV6gqjEeNQ9wjHZUmSXx1GWRhwTB7JiBxjvoYbo0TK5bEhaK5sgjSprBR7Q==" saltValue="RwZIYRjNeF37gBMMeZsLPA==" spinCount="100000" sheet="1" objects="1" scenarios="1"/>
  <mergeCells count="36">
    <mergeCell ref="B54:F54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  <mergeCell ref="B12:F12"/>
    <mergeCell ref="B13:F13"/>
    <mergeCell ref="B16:H16"/>
    <mergeCell ref="B17:F17"/>
    <mergeCell ref="B53:F53"/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105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9</v>
      </c>
      <c r="C8" s="102"/>
      <c r="D8" s="102"/>
      <c r="E8" s="102"/>
      <c r="F8" s="102"/>
      <c r="G8" s="102"/>
      <c r="H8" s="103"/>
      <c r="I8" s="1"/>
    </row>
    <row r="9" spans="1:9" x14ac:dyDescent="0.25">
      <c r="A9" s="1"/>
      <c r="B9" s="104" t="s">
        <v>127</v>
      </c>
      <c r="C9" s="105"/>
      <c r="D9" s="105"/>
      <c r="E9" s="105"/>
      <c r="F9" s="106"/>
      <c r="G9" s="23">
        <v>0</v>
      </c>
      <c r="H9" s="14"/>
      <c r="I9" s="1"/>
    </row>
    <row r="10" spans="1:9" x14ac:dyDescent="0.25">
      <c r="A10" s="1"/>
      <c r="B10" s="104" t="s">
        <v>137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0"/>
      <c r="I11" s="1"/>
    </row>
    <row r="12" spans="1:9" ht="40.5" customHeight="1" x14ac:dyDescent="0.25">
      <c r="A12" s="1"/>
      <c r="B12" s="75" t="s">
        <v>240</v>
      </c>
      <c r="C12" s="76"/>
      <c r="D12" s="76"/>
      <c r="E12" s="76"/>
      <c r="F12" s="76"/>
      <c r="G12" s="76"/>
      <c r="H12" s="77"/>
      <c r="I12" s="1"/>
    </row>
    <row r="13" spans="1:9" ht="14.25" customHeight="1" x14ac:dyDescent="0.25">
      <c r="A13" s="18"/>
      <c r="B13" s="113"/>
      <c r="C13" s="113"/>
      <c r="D13" s="113"/>
      <c r="E13" s="113"/>
      <c r="F13" s="113"/>
      <c r="G13" s="113"/>
      <c r="H13" s="113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fObZUOvVHLTLKfzCXyq6Mf4H4311pI0niK0tOrxJOjtMSkAlsrS1sE//wBArci9WcqBIiH/ONgsHY8eHtItRA==" saltValue="J47T2eyh91RE0adRQJwxN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2020-09-18T13:02:20Z</dcterms:modified>
</cp:coreProperties>
</file>