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Vandcenter Syd AS (S099)\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E24" i="32" l="1"/>
  <c r="E32" i="32" s="1"/>
  <c r="E34" i="32" s="1"/>
  <c r="E28" i="32" l="1"/>
  <c r="C32" i="2" s="1"/>
  <c r="C14" i="19"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4" i="37" s="1"/>
  <c r="C15" i="37" l="1"/>
  <c r="C10" i="2" s="1"/>
  <c r="G44" i="30" s="1"/>
  <c r="G35" i="36"/>
  <c r="G37" i="36" l="1"/>
  <c r="E19" i="27" s="1"/>
  <c r="G41" i="36" l="1"/>
  <c r="G27" i="30"/>
  <c r="G31" i="30" l="1"/>
  <c r="E10" i="37"/>
  <c r="E14" i="37" s="1"/>
  <c r="G33" i="30" l="1"/>
  <c r="G37" i="30" s="1"/>
  <c r="G39" i="30" s="1"/>
  <c r="E15"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<sst xmlns="http://schemas.openxmlformats.org/spreadsheetml/2006/main" count="613" uniqueCount="291">
  <si>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</si>
  <si>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</si>
  <si>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</si>
  <si>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</si>
  <si>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</si>
  <si>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</si>
  <si>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</si>
  <si>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</si>
  <si>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</si>
  <si>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</si>
  <si>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</si>
  <si>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</si>
  <si>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</si>
  <si>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</si>
  <si>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</si>
  <si>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</si>
  <si>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</si>
  <si>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</si>
  <si>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</si>
  <si>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</si>
  <si>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</si>
  <si>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</si>
  <si>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</si>
  <si>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</si>
  <si>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</si>
  <si>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</si>
  <si>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</si>
  <si>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</si>
  <si>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</si>
  <si>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</si>
  <si>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</si>
  <si>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</si>
  <si>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</si>
  <si>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</si>
  <si>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</si>
  <si>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</si>
  <si>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</si>
  <si>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</si>
  <si>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</si>
  <si>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</si>
  <si>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</si>
  <si>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</si>
  <si>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</si>
  <si>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</si>
  <si>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</si>
  <si>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</si>
  <si>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</si>
  <si>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</si>
  <si>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</si>
  <si>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</si>
  <si>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</si>
  <si>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</si>
  <si>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</si>
  <si>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</si>
  <si>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</si>
  <si>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</si>
  <si>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</si>
  <si>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</si>
  <si>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</si>
  <si>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</si>
  <si>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</si>
  <si>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</si>
  <si>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</si>
  <si>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</si>
  <si>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</si>
  <si>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</si>
  <si>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</si>
  <si>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</si>
  <si>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</si>
  <si>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</si>
  <si>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</si>
  <si>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</si>
  <si>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</si>
  <si>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</si>
  <si>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</si>
  <si>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</si>
  <si>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</si>
  <si>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</si>
  <si>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</si>
  <si>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</si>
  <si>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</si>
  <si>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</si>
  <si>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</si>
  <si>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</si>
  <si>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</si>
  <si>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</si>
  <si>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</si>
  <si>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</si>
  <si>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</si>
  <si>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</si>
  <si>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</si>
  <si>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</si>
  <si>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</si>
  <si>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</si>
  <si>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</si>
  <si>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</si>
  <si>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</si>
  <si>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</si>
  <si>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</si>
  <si>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</si>
  <si>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</si>
  <si>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</si>
  <si>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</si>
  <si>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</si>
  <si>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</si>
  <si>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</si>
  <si>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</si>
  <si>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</si>
  <si>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</si>
  <si>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</si>
  <si>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</si>
  <si>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</si>
  <si>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</si>
  <si>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</si>
  <si>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</si>
  <si>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</si>
  <si>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</si>
  <si>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</si>
  <si>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</si>
  <si>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</si>
  <si>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</si>
  <si>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</si>
  <si>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</si>
  <si>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</si>
  <si>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</si>
  <si>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</si>
  <si>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</si>
  <si>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</si>
  <si>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</si>
  <si>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</si>
  <si>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</si>
  <si>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</si>
  <si>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</si>
  <si>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</si>
  <si>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</si>
  <si>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</si>
  <si>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</si>
  <si>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</si>
  <si>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</si>
  <si>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</si>
  <si>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</si>
  <si>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</si>
  <si>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</si>
  <si>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</si>
  <si>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</si>
  <si>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</si>
  <si>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</si>
  <si>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</si>
  <si>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</si>
  <si>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</si>
  <si>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</si>
  <si>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</si>
  <si>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</si>
  <si>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</si>
  <si>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</si>
  <si>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</si>
  <si>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</si>
  <si>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</si>
  <si>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</si>
  <si>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</si>
  <si>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</si>
  <si>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</si>
  <si>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</si>
  <si>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</si>
  <si>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</si>
  <si>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</si>
  <si>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</si>
  <si>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</si>
  <si>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</si>
  <si>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</si>
  <si>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</si>
  <si>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</si>
  <si>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</si>
  <si>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</si>
  <si>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</si>
  <si>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</si>
  <si>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</si>
  <si>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</si>
  <si>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</si>
  <si>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</si>
  <si>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</si>
  <si>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</si>
  <si>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</si>
  <si>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</si>
  <si>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</si>
  <si>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</si>
  <si>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</si>
  <si>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</si>
  <si>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</si>
  <si>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</si>
  <si>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</si>
  <si>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</si>
  <si>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</si>
  <si>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</si>
  <si>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</si>
  <si>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</si>
  <si>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</si>
  <si>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</si>
  <si>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</si>
  <si>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</si>
  <si>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</si>
  <si>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</si>
  <si>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</si>
  <si>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</si>
  <si>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</si>
  <si>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</si>
  <si>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</si>
  <si>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</si>
  <si>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</si>
  <si>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</si>
  <si>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</si>
  <si>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</si>
  <si>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</si>
  <si>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</si>
  <si>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</si>
  <si>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</si>
  <si>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</si>
  <si>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</si>
  <si>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</si>
  <si>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</si>
  <si>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</si>
  <si>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</si>
  <si>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</si>
  <si>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</si>
  <si>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</si>
  <si>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</si>
  <si>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</si>
  <si>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</si>
  <si>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</si>
  <si>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</si>
  <si>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</si>
  <si>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</si>
  <si>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</si>
  <si>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</si>
  <si>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</si>
  <si>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</si>
  <si>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</si>
  <si>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</si>
  <si>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</si>
  <si>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</si>
  <si>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</si>
  <si>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</si>
  <si>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</si>
  <si>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</si>
  <si>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</si>
  <si>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</si>
  <si>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</si>
  <si>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</si>
  <si>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</si>
  <si>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</si>
  <si>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</si>
  <si>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</si>
  <si>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</si>
  <si>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</si>
  <si>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</si>
  <si>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</si>
  <si>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</si>
  <si>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</si>
  <si>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</si>
  <si>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</si>
  <si>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</si>
  <si>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</si>
  <si>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</si>
  <si>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</si>
  <si>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</si>
  <si>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</si>
  <si>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</si>
  <si>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Ejendomsskatter</t>
  </si>
  <si>
    <t>Tjenestemandspensioner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</si>
  <si>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</si>
  <si>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</si>
  <si>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</si>
  <si>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</si>
  <si>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</si>
  <si>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</si>
  <si>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</si>
  <si>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</si>
  <si>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</si>
  <si>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</si>
  <si>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</si>
  <si>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Udvidelse af forsyningsområdet</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</si>
  <si>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</si>
  <si>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</si>
  <si>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</si>
  <si>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</si>
  <si>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</si>
  <si>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</si>
  <si>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</si>
  <si>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Diverse mål</t>
  </si>
  <si>
    <t>Omlægsning af slamledning</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</si>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</sst>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election activeCell="D31" sqref="D31:G31"/>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pxWYur07PVfGVMTrAQNe/JD03I2CDXRNc3Y0CDd7g7SMCqWIoV4+Vh0zoSzy+RKef4brzR1Yh37yRsMZ54Ladg==" saltValue="RxJV5/j0vQ1JWcXy0pgjiA=="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6166565</v>
      </c>
      <c r="D10" s="14" t="s">
        <v>3</v>
      </c>
      <c r="E10" s="1"/>
      <c r="F10" s="1"/>
    </row>
    <row r="11" spans="1:6" x14ac:dyDescent="0.25">
      <c r="A11" s="1"/>
      <c r="B11" s="94" t="s">
        <v>266</v>
      </c>
      <c r="C11" s="9">
        <v>458396</v>
      </c>
      <c r="D11" s="14" t="s">
        <v>3</v>
      </c>
      <c r="E11" s="1"/>
      <c r="F11" s="1"/>
    </row>
    <row r="12" spans="1:6" x14ac:dyDescent="0.25">
      <c r="A12" s="1"/>
      <c r="B12" s="94" t="s">
        <v>267</v>
      </c>
      <c r="C12" s="9">
        <v>1168589</v>
      </c>
      <c r="D12" s="14" t="s">
        <v>3</v>
      </c>
      <c r="E12" s="1"/>
      <c r="F12" s="1"/>
    </row>
    <row r="13" spans="1:6" x14ac:dyDescent="0.25">
      <c r="A13" s="1"/>
      <c r="B13" s="94" t="s">
        <v>268</v>
      </c>
      <c r="C13" s="9">
        <v>501220</v>
      </c>
      <c r="D13" s="14" t="s">
        <v>3</v>
      </c>
      <c r="E13" s="1"/>
      <c r="F13" s="1"/>
    </row>
    <row r="14" spans="1:6" x14ac:dyDescent="0.25">
      <c r="A14" s="1"/>
      <c r="B14" s="32" t="s">
        <v>200</v>
      </c>
      <c r="C14" s="12">
        <f>SUM(C10:C13)</f>
        <v>8294770</v>
      </c>
      <c r="D14" s="13" t="s">
        <v>3</v>
      </c>
      <c r="E14" s="1"/>
      <c r="F14" s="1"/>
    </row>
    <row r="15" spans="1:6" x14ac:dyDescent="0.25">
      <c r="A15" s="1"/>
      <c r="B15" s="32" t="s">
        <v>201</v>
      </c>
      <c r="C15" s="12">
        <f>C14*(1+'Fane 15. Nøgletal'!C15)^2</f>
        <v>8895870.0837072004</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1" t="s">
        <v>117</v>
      </c>
      <c r="C18" s="132"/>
      <c r="D18" s="133"/>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3" t="s">
        <v>202</v>
      </c>
      <c r="C22" s="9">
        <v>0</v>
      </c>
      <c r="D22" s="40" t="s">
        <v>3</v>
      </c>
      <c r="E22" s="1"/>
      <c r="F22" s="1"/>
    </row>
    <row r="23" spans="1:6" x14ac:dyDescent="0.25">
      <c r="A23" s="1"/>
      <c r="B23" s="131"/>
      <c r="C23" s="132"/>
      <c r="D23" s="133"/>
      <c r="E23" s="1"/>
      <c r="F23" s="1"/>
    </row>
    <row r="24" spans="1:6" x14ac:dyDescent="0.25">
      <c r="A24" s="1"/>
      <c r="B24" s="1"/>
      <c r="C24" s="1"/>
      <c r="D24" s="1"/>
      <c r="E24" s="1"/>
      <c r="F24" s="1"/>
    </row>
    <row r="25" spans="1:6" x14ac:dyDescent="0.25">
      <c r="A25" s="1"/>
      <c r="B25" s="1"/>
      <c r="C25" s="1"/>
      <c r="D25" s="1"/>
      <c r="E25" s="1"/>
      <c r="F25" s="1"/>
    </row>
    <row r="26" spans="1:6" x14ac:dyDescent="0.25">
      <c r="A26" s="1"/>
      <c r="B26" s="131" t="s">
        <v>98</v>
      </c>
      <c r="C26" s="132"/>
      <c r="D26" s="133"/>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31"/>
      <c r="C31" s="132"/>
      <c r="D31" s="13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gd4CSb+ASAUd5BrQ9XXtECLpZPS0NGChxpWj8zVln4B6LDM5+p1n6U75KPpcMxq0tCwyhHpJ/Hh7EVHeBS962g==" saltValue="zUV8O3vRWcJOHy6zGuGevQ=="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-7292961.7058981061</v>
      </c>
      <c r="F9" s="14" t="s">
        <v>3</v>
      </c>
      <c r="G9" s="1"/>
    </row>
    <row r="10" spans="1:7" x14ac:dyDescent="0.25">
      <c r="A10" s="1"/>
      <c r="B10" s="136" t="s">
        <v>263</v>
      </c>
      <c r="C10" s="137"/>
      <c r="D10" s="138"/>
      <c r="E10" s="9">
        <v>-7292961.7058981061</v>
      </c>
      <c r="F10" s="14" t="s">
        <v>3</v>
      </c>
      <c r="G10" s="1"/>
    </row>
    <row r="11" spans="1:7" x14ac:dyDescent="0.25">
      <c r="A11" s="1"/>
      <c r="B11" s="32"/>
      <c r="C11" s="27"/>
      <c r="D11" s="27"/>
      <c r="E11" s="27"/>
      <c r="F11" s="19"/>
      <c r="G11" s="1"/>
    </row>
    <row r="12" spans="1:7" ht="82.5" customHeight="1" x14ac:dyDescent="0.25">
      <c r="A12" s="1"/>
      <c r="B12" s="121" t="s">
        <v>286</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281</v>
      </c>
      <c r="C15" s="137"/>
      <c r="D15" s="138"/>
      <c r="E15" s="9">
        <v>-3646480.852949053</v>
      </c>
      <c r="F15" s="14" t="s">
        <v>3</v>
      </c>
      <c r="G15" s="1"/>
    </row>
    <row r="16" spans="1:7" x14ac:dyDescent="0.25">
      <c r="A16" s="1"/>
      <c r="B16" s="136" t="s">
        <v>282</v>
      </c>
      <c r="C16" s="137"/>
      <c r="D16" s="138"/>
      <c r="E16" s="9">
        <v>-3646480.852949053</v>
      </c>
      <c r="F16" s="14" t="s">
        <v>3</v>
      </c>
      <c r="G16" s="1"/>
    </row>
    <row r="17" spans="1:7" x14ac:dyDescent="0.25">
      <c r="A17" s="1"/>
      <c r="B17" s="32"/>
      <c r="C17" s="27"/>
      <c r="D17" s="27"/>
      <c r="E17" s="27"/>
      <c r="F17" s="19"/>
      <c r="G17" s="1"/>
    </row>
    <row r="18" spans="1:7" ht="31.5" customHeight="1" x14ac:dyDescent="0.25">
      <c r="A18" s="1"/>
      <c r="B18" s="121" t="s">
        <v>287</v>
      </c>
      <c r="C18" s="122"/>
      <c r="D18" s="122"/>
      <c r="E18" s="122"/>
      <c r="F18" s="123"/>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355771046.23536479</v>
      </c>
      <c r="F21" s="14" t="s">
        <v>3</v>
      </c>
      <c r="G21" s="1"/>
    </row>
    <row r="22" spans="1:7" x14ac:dyDescent="0.25">
      <c r="A22" s="1"/>
      <c r="B22" s="91" t="s">
        <v>207</v>
      </c>
      <c r="C22" s="92"/>
      <c r="D22" s="93"/>
      <c r="E22" s="9">
        <v>356681847</v>
      </c>
      <c r="F22" s="14" t="s">
        <v>3</v>
      </c>
      <c r="G22" s="1"/>
    </row>
    <row r="23" spans="1:7" x14ac:dyDescent="0.25">
      <c r="A23" s="1"/>
      <c r="B23" s="91" t="s">
        <v>33</v>
      </c>
      <c r="C23" s="92"/>
      <c r="D23" s="93"/>
      <c r="E23" s="9">
        <v>0</v>
      </c>
      <c r="F23" s="14" t="s">
        <v>3</v>
      </c>
      <c r="G23" s="1"/>
    </row>
    <row r="24" spans="1:7" x14ac:dyDescent="0.25">
      <c r="A24" s="1"/>
      <c r="B24" s="88" t="s">
        <v>269</v>
      </c>
      <c r="C24" s="89"/>
      <c r="D24" s="96"/>
      <c r="E24" s="72">
        <f>E21-(E22-E23)</f>
        <v>-910800.76463520527</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283</v>
      </c>
      <c r="C27" s="132"/>
      <c r="D27" s="132"/>
      <c r="E27" s="132"/>
      <c r="F27" s="133"/>
      <c r="G27" s="1"/>
    </row>
    <row r="28" spans="1:7" x14ac:dyDescent="0.25">
      <c r="A28" s="1"/>
      <c r="B28" s="134" t="s">
        <v>284</v>
      </c>
      <c r="C28" s="135"/>
      <c r="D28" s="158"/>
      <c r="E28" s="73">
        <f>IF(AND(E9&gt;0,(E9+E24)&gt;0),0,IF(AND(E9&gt;0,(E9+E24)&lt;0),0,IF(AND(E9&lt;0,E24&gt;0,E10=0),0,IF(AND(E9&lt;0,E24&gt;0,ABS(E10)&lt;ABS(E24)),ABS(E16),IF(AND(E9&lt;0,E24&gt;0,ABS(E10)&gt;ABS(E24),ABS(E16)&gt;ABS(E24)),-(ABS(E16)-ABS(E24)),IF(AND(E9&lt;0,E24&gt;0,ABS(E10)&gt;ABS(E24),ABS(E16)&lt;ABS(E24)),E24-ABS(E16),IF(AND(E9&lt;0,E24&lt;0),E16,0)))))))</f>
        <v>-3646480.852949053</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1" t="s">
        <v>143</v>
      </c>
      <c r="C32" s="152"/>
      <c r="D32" s="153"/>
      <c r="E32" s="74">
        <f>IF(AND(E9&gt;0,(E9+E24)&gt;0),0,IF(AND(E9&gt;0,(E9+E24)&lt;0),(E9+E24),IF(AND(E9&lt;0,E24&lt;0),E24,0)))</f>
        <v>-910800.76463520527</v>
      </c>
      <c r="F32" s="14" t="s">
        <v>3</v>
      </c>
      <c r="G32" s="1"/>
    </row>
    <row r="33" spans="1:7" x14ac:dyDescent="0.25">
      <c r="A33" s="1"/>
      <c r="B33" s="151" t="s">
        <v>102</v>
      </c>
      <c r="C33" s="152"/>
      <c r="D33" s="153"/>
      <c r="E33" s="9">
        <v>4</v>
      </c>
      <c r="F33" s="14" t="s">
        <v>20</v>
      </c>
      <c r="G33" s="1"/>
    </row>
    <row r="34" spans="1:7" x14ac:dyDescent="0.25">
      <c r="A34" s="1"/>
      <c r="B34" s="154" t="s">
        <v>144</v>
      </c>
      <c r="C34" s="154"/>
      <c r="D34" s="154"/>
      <c r="E34" s="73">
        <f>E32/E33</f>
        <v>-227700.19115880132</v>
      </c>
      <c r="F34" s="17" t="s">
        <v>3</v>
      </c>
      <c r="G34" s="1"/>
    </row>
    <row r="35" spans="1:7" x14ac:dyDescent="0.25">
      <c r="A35" s="1"/>
      <c r="B35" s="155"/>
      <c r="C35" s="156"/>
      <c r="D35" s="156"/>
      <c r="E35" s="156"/>
      <c r="F35" s="15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HvlAV8E1AFfzVU2H98EhgqJaG2eEB8cWlqBHCGXPP0Hwx8ToSJfvmTAQzY/oRfaRQwb04KwUslWVh1I3whovAw==" saltValue="Bk1TXs0X/XSrA9NUV5G+gA=="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9" t="s">
        <v>271</v>
      </c>
      <c r="C10" s="160"/>
      <c r="D10" s="160"/>
      <c r="E10" s="160"/>
      <c r="F10" s="161"/>
      <c r="G10" s="9">
        <v>0</v>
      </c>
      <c r="H10" s="9" t="s">
        <v>3</v>
      </c>
      <c r="I10" s="1"/>
    </row>
    <row r="11" spans="1:9" x14ac:dyDescent="0.25">
      <c r="A11" s="1"/>
      <c r="B11" s="159" t="s">
        <v>272</v>
      </c>
      <c r="C11" s="160"/>
      <c r="D11" s="160"/>
      <c r="E11" s="160"/>
      <c r="F11" s="161"/>
      <c r="G11" s="9">
        <v>0</v>
      </c>
      <c r="H11" s="9" t="s">
        <v>3</v>
      </c>
      <c r="I11" s="1"/>
    </row>
    <row r="12" spans="1:9" x14ac:dyDescent="0.25">
      <c r="A12" s="1"/>
      <c r="B12" s="159" t="s">
        <v>273</v>
      </c>
      <c r="C12" s="160"/>
      <c r="D12" s="160"/>
      <c r="E12" s="160"/>
      <c r="F12" s="161"/>
      <c r="G12" s="9">
        <v>0</v>
      </c>
      <c r="H12" s="9" t="s">
        <v>3</v>
      </c>
      <c r="I12" s="1"/>
    </row>
    <row r="13" spans="1:9" x14ac:dyDescent="0.25">
      <c r="A13" s="1"/>
      <c r="B13" s="159" t="s">
        <v>274</v>
      </c>
      <c r="C13" s="160"/>
      <c r="D13" s="160"/>
      <c r="E13" s="160"/>
      <c r="F13" s="161"/>
      <c r="G13" s="9">
        <v>0</v>
      </c>
      <c r="H13" s="9" t="s">
        <v>3</v>
      </c>
      <c r="I13" s="1"/>
    </row>
    <row r="14" spans="1:9" x14ac:dyDescent="0.25">
      <c r="A14" s="1"/>
      <c r="B14" s="159" t="s">
        <v>275</v>
      </c>
      <c r="C14" s="160"/>
      <c r="D14" s="160"/>
      <c r="E14" s="160"/>
      <c r="F14" s="161"/>
      <c r="G14" s="9">
        <v>0</v>
      </c>
      <c r="H14" s="9" t="s">
        <v>3</v>
      </c>
      <c r="I14" s="1"/>
    </row>
    <row r="15" spans="1:9" x14ac:dyDescent="0.25">
      <c r="A15" s="1"/>
      <c r="B15" s="159" t="s">
        <v>276</v>
      </c>
      <c r="C15" s="160"/>
      <c r="D15" s="160"/>
      <c r="E15" s="160"/>
      <c r="F15" s="161"/>
      <c r="G15" s="9">
        <v>0</v>
      </c>
      <c r="H15" s="9" t="s">
        <v>3</v>
      </c>
      <c r="I15" s="1"/>
    </row>
    <row r="16" spans="1:9" x14ac:dyDescent="0.25">
      <c r="A16" s="1"/>
      <c r="B16" s="159" t="s">
        <v>277</v>
      </c>
      <c r="C16" s="160"/>
      <c r="D16" s="160"/>
      <c r="E16" s="160"/>
      <c r="F16" s="161"/>
      <c r="G16" s="9">
        <v>0</v>
      </c>
      <c r="H16" s="9" t="s">
        <v>3</v>
      </c>
      <c r="I16" s="1"/>
    </row>
    <row r="17" spans="1:9" x14ac:dyDescent="0.25">
      <c r="A17" s="1"/>
      <c r="B17" s="159" t="s">
        <v>278</v>
      </c>
      <c r="C17" s="160"/>
      <c r="D17" s="160"/>
      <c r="E17" s="160"/>
      <c r="F17" s="161"/>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Nv4omTTjt8W+QNnrKbVzgxedylZ/GLHCkoHrLMsN4pMmgV9OvLel1RyoIaAMC1M+xvD3KV+9s9vCywrLWX2Ngw==" saltValue="gPeMNWCGyjC10L8DRyBRgg=="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0</v>
      </c>
      <c r="F10" s="8" t="s">
        <v>3</v>
      </c>
      <c r="G10" s="1"/>
    </row>
    <row r="11" spans="1:7" x14ac:dyDescent="0.25">
      <c r="A11" s="1"/>
      <c r="B11" s="136" t="s">
        <v>209</v>
      </c>
      <c r="C11" s="137"/>
      <c r="D11" s="138"/>
      <c r="E11" s="7">
        <v>0</v>
      </c>
      <c r="F11" s="8" t="s">
        <v>3</v>
      </c>
      <c r="G11" s="1"/>
    </row>
    <row r="12" spans="1:7" x14ac:dyDescent="0.25">
      <c r="A12" s="1"/>
      <c r="B12" s="134" t="s">
        <v>101</v>
      </c>
      <c r="C12" s="135"/>
      <c r="D12" s="158"/>
      <c r="E12" s="10">
        <f>E11-E10</f>
        <v>0</v>
      </c>
      <c r="F12" s="11" t="s">
        <v>3</v>
      </c>
      <c r="G12" s="1"/>
    </row>
    <row r="13" spans="1:7" x14ac:dyDescent="0.25">
      <c r="A13" s="1"/>
      <c r="B13" s="131" t="s">
        <v>94</v>
      </c>
      <c r="C13" s="132"/>
      <c r="D13" s="132"/>
      <c r="E13" s="132"/>
      <c r="F13" s="133"/>
      <c r="G13" s="1"/>
    </row>
    <row r="14" spans="1:7" x14ac:dyDescent="0.25">
      <c r="A14" s="1"/>
      <c r="B14" s="136" t="s">
        <v>210</v>
      </c>
      <c r="C14" s="137"/>
      <c r="D14" s="138"/>
      <c r="E14" s="9">
        <v>354000</v>
      </c>
      <c r="F14" s="8" t="s">
        <v>3</v>
      </c>
      <c r="G14" s="1"/>
    </row>
    <row r="15" spans="1:7" x14ac:dyDescent="0.25">
      <c r="A15" s="1"/>
      <c r="B15" s="121" t="s">
        <v>211</v>
      </c>
      <c r="C15" s="122"/>
      <c r="D15" s="123"/>
      <c r="E15" s="9">
        <v>279528</v>
      </c>
      <c r="F15" s="8" t="s">
        <v>3</v>
      </c>
      <c r="G15" s="1"/>
    </row>
    <row r="16" spans="1:7" x14ac:dyDescent="0.25">
      <c r="A16" s="1"/>
      <c r="B16" s="134" t="s">
        <v>101</v>
      </c>
      <c r="C16" s="135"/>
      <c r="D16" s="158"/>
      <c r="E16" s="10">
        <f>E15-E14</f>
        <v>-74472</v>
      </c>
      <c r="F16" s="11" t="s">
        <v>3</v>
      </c>
      <c r="G16" s="1"/>
    </row>
    <row r="17" spans="1:7" x14ac:dyDescent="0.25">
      <c r="A17" s="1"/>
      <c r="B17" s="32" t="s">
        <v>212</v>
      </c>
      <c r="C17" s="27"/>
      <c r="D17" s="27"/>
      <c r="E17" s="12">
        <f>E12+E16</f>
        <v>-74472</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OMaalNejFk9OYy42TYQ25lkHXMIhitmxTRuVoJWPbao9f0T0ShJ66nzATkUAxT9crO7Au/UveWtU2UxSR1xoA==" saltValue="FhxLs+bGgP0AKLaQdFCNt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279</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krJZ3o+2eeN8/yox490a0ptT8p7nCLL5t7TDFmYfq/TxG5pNAAq42IU6eZQ5HoUqg7KvZ//6IQzC7LcrSIy0FA==" saltValue="EtKny5PBktPJQGMpRQmJL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1"/>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288</v>
      </c>
      <c r="C11" s="21">
        <v>1077190</v>
      </c>
      <c r="D11" s="14" t="s">
        <v>3</v>
      </c>
      <c r="E11" s="9">
        <v>5278595</v>
      </c>
      <c r="F11" s="14" t="s">
        <v>3</v>
      </c>
      <c r="G11" s="1"/>
    </row>
    <row r="12" spans="1:7" x14ac:dyDescent="0.25">
      <c r="A12" s="1"/>
      <c r="B12" s="23" t="s">
        <v>289</v>
      </c>
      <c r="C12" s="21">
        <v>0</v>
      </c>
      <c r="D12" s="14" t="s">
        <v>3</v>
      </c>
      <c r="E12" s="9">
        <v>13833</v>
      </c>
      <c r="F12" s="14" t="s">
        <v>3</v>
      </c>
      <c r="G12" s="1"/>
    </row>
    <row r="13" spans="1:7" x14ac:dyDescent="0.25">
      <c r="A13" s="1"/>
      <c r="B13" s="23" t="s">
        <v>280</v>
      </c>
      <c r="C13" s="21">
        <v>0</v>
      </c>
      <c r="D13" s="14" t="s">
        <v>3</v>
      </c>
      <c r="E13" s="9">
        <v>1755052</v>
      </c>
      <c r="F13" s="14" t="s">
        <v>3</v>
      </c>
      <c r="G13" s="1"/>
    </row>
    <row r="14" spans="1:7" x14ac:dyDescent="0.25">
      <c r="A14" s="1"/>
      <c r="B14" s="32" t="s">
        <v>156</v>
      </c>
      <c r="C14" s="12">
        <f>SUM(C10:C13)</f>
        <v>1077190</v>
      </c>
      <c r="D14" s="13" t="s">
        <v>3</v>
      </c>
      <c r="E14" s="12">
        <f>SUM(E10:E13)</f>
        <v>7047480</v>
      </c>
      <c r="F14" s="13" t="s">
        <v>3</v>
      </c>
      <c r="G14" s="1"/>
    </row>
    <row r="15" spans="1:7" x14ac:dyDescent="0.25">
      <c r="A15" s="1"/>
      <c r="B15" s="32" t="s">
        <v>213</v>
      </c>
      <c r="C15" s="12">
        <f>C14*(1+'Fane 15. Nøgletal'!C15)</f>
        <v>1115537.9640000002</v>
      </c>
      <c r="D15" s="13" t="s">
        <v>3</v>
      </c>
      <c r="E15" s="12">
        <f>E14*(1+'Fane 15. Nøgletal'!C15)</f>
        <v>7298370.2880000006</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9"/>
      <c r="B51" s="49"/>
      <c r="C51" s="49"/>
      <c r="D51" s="49"/>
      <c r="E51" s="49"/>
      <c r="F51" s="49"/>
      <c r="G51" s="49"/>
    </row>
  </sheetData>
  <sheetProtection algorithmName="SHA-512" hashValue="a5716CnXiv3VTit18tUta2bZmnECvcmvD1YhOU8HCO/RRRCBvxorvsSZzK8FnDtZY7ZbRHDAlCdMtanqC+4aIQ==" saltValue="AiKlyadEnp7iwtn9MXMOI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3" t="s">
        <v>17</v>
      </c>
      <c r="C9" s="83" t="s">
        <v>11</v>
      </c>
      <c r="D9" s="84"/>
      <c r="E9" s="83" t="s">
        <v>31</v>
      </c>
      <c r="F9" s="31"/>
      <c r="G9" s="1"/>
    </row>
    <row r="10" spans="1:7" x14ac:dyDescent="0.25">
      <c r="A10" s="1"/>
      <c r="B10" s="23" t="s">
        <v>290</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bbtkrDOLwz9dc/YHJU++5CjTOQQ8kZcIKSIaFX/65fx1VHxJfOzBL5nyJswdiw4Lxuib0SyFvHegXRr8c8tCJw==" saltValue="+P8LH5/Ae6fpihLYS1Zakw=="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9" t="s">
        <v>224</v>
      </c>
      <c r="C10" s="160"/>
      <c r="D10" s="161"/>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9" t="s">
        <v>224</v>
      </c>
      <c r="C16" s="160"/>
      <c r="D16" s="161"/>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9" t="s">
        <v>224</v>
      </c>
      <c r="C22" s="160"/>
      <c r="D22" s="161"/>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9" t="s">
        <v>224</v>
      </c>
      <c r="C28" s="160"/>
      <c r="D28" s="161"/>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jwYNR0vjAmIWQxBPfxBhGSJVsyG3fHf5rzsAhzFQtj9baO++1jI6cmOHu/lQU3JUYrHq6MBiwrp0WcL7rtqP/A==" saltValue="SihWDBVLdZgIGiwbDVUawA=="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140625" style="2" customWidth="1"/>
    <col min="2" max="2" width="40.85546875" style="2" customWidth="1"/>
    <col min="3" max="3" width="15.5703125" style="2" customWidth="1"/>
    <col min="4" max="4" width="3.28515625" style="2" customWidth="1"/>
    <col min="5" max="5" width="17.140625" style="2" customWidth="1"/>
    <col min="6" max="6" width="3.28515625" style="2" customWidth="1"/>
    <col min="7" max="7" width="1.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270</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0+Pb4mrNph5gBAHB70sMORZL8s8lS3VXMhv166N1EUErI4De9DYbn8aqwPRsLjTJoag1I17dtmhnkFP6f5I48Q==" saltValue="Y2lU/lzgubvEh2hhw+xCx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ki2nKvu981j2NPbkPt82RaNz0wjt5gMFYAtjM4UW9TMI27a0HPCIljzo81L6ZUofOdrIe5ruN7XGdW85YA4OGQ==" saltValue="wj0cr8UmbcDd2UD5i/s5U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348058497.43129545</v>
      </c>
      <c r="D9" s="8" t="s">
        <v>3</v>
      </c>
      <c r="E9" s="1"/>
    </row>
    <row r="10" spans="1:5" ht="17.25" customHeight="1" x14ac:dyDescent="0.25">
      <c r="A10" s="1"/>
      <c r="B10" s="82" t="s">
        <v>39</v>
      </c>
      <c r="C10" s="7">
        <f>'Fane 11.1. Varige tillæg'!C15</f>
        <v>1115537.9640000002</v>
      </c>
      <c r="D10" s="8" t="s">
        <v>3</v>
      </c>
      <c r="E10" s="1"/>
    </row>
    <row r="11" spans="1:5" ht="17.25" customHeight="1" x14ac:dyDescent="0.25">
      <c r="A11" s="1"/>
      <c r="B11" s="82" t="s">
        <v>40</v>
      </c>
      <c r="C11" s="9">
        <f>'Fane 11.1. Varige tillæg'!E15</f>
        <v>7298370.2880000006</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1448128.1752944749</v>
      </c>
      <c r="D16" s="8" t="s">
        <v>3</v>
      </c>
      <c r="E16" s="1"/>
    </row>
    <row r="17" spans="1:5" ht="17.25" customHeight="1" x14ac:dyDescent="0.25">
      <c r="A17" s="1"/>
      <c r="B17" s="82" t="s">
        <v>10</v>
      </c>
      <c r="C17" s="44">
        <f>-SUM(C9,C10:C16)*'Fane 5. Individuelt eff. krav'!G9</f>
        <v>0</v>
      </c>
      <c r="D17" s="8" t="s">
        <v>3</v>
      </c>
      <c r="E17" s="1"/>
    </row>
    <row r="18" spans="1:5" ht="17.25" customHeight="1" x14ac:dyDescent="0.25">
      <c r="A18" s="1"/>
      <c r="B18" s="82" t="s">
        <v>24</v>
      </c>
      <c r="C18" s="44">
        <f>-'Fane 4.1. Gen. krav - drift'!G45</f>
        <v>-2377781.4441340915</v>
      </c>
      <c r="D18" s="8" t="s">
        <v>3</v>
      </c>
      <c r="E18" s="1"/>
    </row>
    <row r="19" spans="1:5" ht="17.25" customHeight="1" x14ac:dyDescent="0.25">
      <c r="A19" s="1"/>
      <c r="B19" s="82" t="s">
        <v>25</v>
      </c>
      <c r="C19" s="44">
        <f>-'Fane 4.2. Gen. krav - anlæg'!G43</f>
        <v>-3761389.1746790255</v>
      </c>
      <c r="D19" s="8" t="s">
        <v>3</v>
      </c>
      <c r="E19" s="48"/>
    </row>
    <row r="20" spans="1:5" ht="17.25" customHeight="1" x14ac:dyDescent="0.25">
      <c r="A20" s="1"/>
      <c r="B20" s="88" t="s">
        <v>21</v>
      </c>
      <c r="C20" s="10">
        <f>SUM(C9:C19)</f>
        <v>351781363.23977673</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8895870.0837072004</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-3646480.852949053</v>
      </c>
      <c r="D32" s="11" t="s">
        <v>3</v>
      </c>
      <c r="E32" s="1"/>
    </row>
    <row r="33" spans="1:5" ht="15" customHeight="1" x14ac:dyDescent="0.25">
      <c r="A33" s="1"/>
      <c r="B33" s="32" t="s">
        <v>185</v>
      </c>
      <c r="C33" s="27"/>
      <c r="D33" s="19"/>
      <c r="E33" s="1"/>
    </row>
    <row r="34" spans="1:5" x14ac:dyDescent="0.25">
      <c r="A34" s="1"/>
      <c r="B34" s="30" t="s">
        <v>185</v>
      </c>
      <c r="C34" s="10">
        <f>'Fane 9. Korrektion af ØR2021'!E17</f>
        <v>-74472</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356956280.47053486</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U7e+FK4mhNh4G6TAKW/oMKBJHC7NngeUrSlO1OepW+fHNWhPCO/RUCPGfF81orgyrHzwfB/sVQRsukA5tD7Lww==" saltValue="sCw305gbeImr5hHOG5CRX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JMovxZqE4kDK6Q8h1ZRA9os5HhxoqhBVJ1T0oT0I1FNgCmdK2LCEtgXX/6AQymBAnks/67tYemqiCKJJ0aLadA==" saltValue="96I8wp6qixAJ6nFu1pdEW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351781363.23977673</v>
      </c>
      <c r="D9" s="8" t="s">
        <v>3</v>
      </c>
      <c r="E9" s="1"/>
    </row>
    <row r="10" spans="1:5" ht="15" customHeight="1" x14ac:dyDescent="0.25">
      <c r="A10" s="1"/>
      <c r="B10" s="25" t="s">
        <v>19</v>
      </c>
      <c r="C10" s="7">
        <f>SUM(C9:C9)*'Fane 15. Nøgletal'!C15</f>
        <v>12523416.531336052</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drift'!G53</f>
        <v>-2413181.85427436</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361891597.91683847</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omk.'!C20+'Fane 6. Ikke-påvirkelige omk.'!C28</f>
        <v>9212563.0586871766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-227700.19115880132</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370876460.78436685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lG8amKtkiybJuFsv2Mud+URPzsU6UnKbSSoDPhV/1EcyuElEcYisDw0j/tjsU6Zx/tUaF/zU0usjJkQWxGFHcw==" saltValue="NSXtFVda8NRfJfxc/0dub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361891597.91683847</v>
      </c>
      <c r="D9" s="8" t="s">
        <v>3</v>
      </c>
      <c r="E9" s="1"/>
    </row>
    <row r="10" spans="1:5" ht="15" customHeight="1" x14ac:dyDescent="0.25">
      <c r="A10" s="1"/>
      <c r="B10" s="25" t="s">
        <v>19</v>
      </c>
      <c r="C10" s="7">
        <f>SUM(C9:C9)*'Fane 15. Nøgletal'!C15</f>
        <v>12883340.885839449</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drift'!G58</f>
        <v>-2449109.3057207968</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372325829.49695712</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9540530.3035764415</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-227700.19115880132</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381638659.60937476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ipZ9FdipdfT+5KltzfVkd6BbeRgRToRcH6+Wc30wg6nIIiqnDFpFTl8px21UPMbb9LwAeudWl/lF+vuAAGvecQ==" saltValue="e38EIUg1DR4GuhtcWIVbg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372325829.49695712</v>
      </c>
      <c r="D9" s="8" t="s">
        <v>3</v>
      </c>
      <c r="E9" s="1"/>
    </row>
    <row r="10" spans="1:5" ht="15" customHeight="1" x14ac:dyDescent="0.25">
      <c r="A10" s="1"/>
      <c r="B10" s="25" t="s">
        <v>19</v>
      </c>
      <c r="C10" s="7">
        <f>SUM(C9:C9)*'Fane 15. Nøgletal'!C15</f>
        <v>13254799.530091673</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drift'!G63</f>
        <v>-2485571.6450643684</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383095057.38198447</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9880173.1823837627</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-227700.19115880132</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392747530.37320948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sFMZZKpOF0qBIebzNaUci7mvlCg+/kDKcECuFZBhebv6i5L6gytyT/ysnnpYhOjyOETG2G01OXorzapogHUikA==" saltValue="c2xk5eMubkpTsbXEiApAe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285</v>
      </c>
      <c r="C8" s="27"/>
      <c r="D8" s="27"/>
      <c r="E8" s="27"/>
      <c r="F8" s="19"/>
      <c r="G8" s="1"/>
    </row>
    <row r="9" spans="1:7" ht="15" customHeight="1" x14ac:dyDescent="0.25">
      <c r="A9" s="1"/>
      <c r="B9" s="121" t="s">
        <v>192</v>
      </c>
      <c r="C9" s="122"/>
      <c r="D9" s="123"/>
      <c r="E9" s="7">
        <v>346058305.91398776</v>
      </c>
      <c r="F9" s="8" t="s">
        <v>3</v>
      </c>
      <c r="G9" s="1"/>
    </row>
    <row r="10" spans="1:7" ht="15" customHeight="1" x14ac:dyDescent="0.25">
      <c r="A10" s="1"/>
      <c r="B10" s="125" t="s">
        <v>39</v>
      </c>
      <c r="C10" s="126"/>
      <c r="D10" s="127"/>
      <c r="E10" s="7">
        <v>359757.2942</v>
      </c>
      <c r="F10" s="8" t="s">
        <v>3</v>
      </c>
      <c r="G10" s="1"/>
    </row>
    <row r="11" spans="1:7" ht="15" customHeight="1" x14ac:dyDescent="0.25">
      <c r="A11" s="1"/>
      <c r="B11" s="125" t="s">
        <v>40</v>
      </c>
      <c r="C11" s="126"/>
      <c r="D11" s="127"/>
      <c r="E11" s="9">
        <v>6675390.332200001</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1165208.3966832797</v>
      </c>
      <c r="F16" s="8" t="s">
        <v>3</v>
      </c>
      <c r="G16" s="1"/>
    </row>
    <row r="17" spans="1:7" ht="15" customHeight="1" x14ac:dyDescent="0.25">
      <c r="A17" s="1"/>
      <c r="B17" s="121" t="s">
        <v>10</v>
      </c>
      <c r="C17" s="122"/>
      <c r="D17" s="123"/>
      <c r="E17" s="9">
        <v>0</v>
      </c>
      <c r="F17" s="8" t="s">
        <v>3</v>
      </c>
      <c r="G17" s="1"/>
    </row>
    <row r="18" spans="1:7" ht="15" customHeight="1" x14ac:dyDescent="0.25">
      <c r="A18" s="1"/>
      <c r="B18" s="121" t="s">
        <v>24</v>
      </c>
      <c r="C18" s="122"/>
      <c r="D18" s="123"/>
      <c r="E18" s="9">
        <f>-'Fane 4.1. Gen. krav - drift'!G39</f>
        <v>-2394828.1099145506</v>
      </c>
      <c r="F18" s="8" t="s">
        <v>3</v>
      </c>
      <c r="G18" s="1"/>
    </row>
    <row r="19" spans="1:7" ht="15" customHeight="1" x14ac:dyDescent="0.25">
      <c r="A19" s="1"/>
      <c r="B19" s="121" t="s">
        <v>25</v>
      </c>
      <c r="C19" s="122"/>
      <c r="D19" s="123"/>
      <c r="E19" s="9">
        <f>-'Fane 4.2. Gen. krav - anlæg'!G37</f>
        <v>-3805336.3958610008</v>
      </c>
      <c r="F19" s="8" t="s">
        <v>3</v>
      </c>
      <c r="G19" s="1"/>
    </row>
    <row r="20" spans="1:7" ht="15" customHeight="1" x14ac:dyDescent="0.25">
      <c r="A20" s="1"/>
      <c r="B20" s="54" t="s">
        <v>21</v>
      </c>
      <c r="C20" s="89"/>
      <c r="D20" s="96"/>
      <c r="E20" s="51">
        <f>SUM(E9:E19)</f>
        <v>348058497.43129545</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8500542.1972056013</v>
      </c>
      <c r="F22" s="11" t="s">
        <v>3</v>
      </c>
      <c r="G22" s="1"/>
    </row>
    <row r="23" spans="1:7" ht="15" customHeight="1" x14ac:dyDescent="0.25">
      <c r="A23" s="1"/>
      <c r="B23" s="131" t="s">
        <v>86</v>
      </c>
      <c r="C23" s="132"/>
      <c r="D23" s="133"/>
      <c r="E23" s="27"/>
      <c r="F23" s="19"/>
      <c r="G23" s="1"/>
    </row>
    <row r="24" spans="1:7" ht="15" customHeight="1" x14ac:dyDescent="0.25">
      <c r="A24" s="1"/>
      <c r="B24" s="8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v>0</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-3646480.852949053</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-74472</v>
      </c>
      <c r="F32" s="11" t="s">
        <v>3</v>
      </c>
      <c r="G32" s="1"/>
    </row>
    <row r="33" spans="1:7" ht="15.4" customHeight="1" x14ac:dyDescent="0.25">
      <c r="A33" s="1"/>
      <c r="B33" s="131" t="s">
        <v>175</v>
      </c>
      <c r="C33" s="132"/>
      <c r="D33" s="132"/>
      <c r="E33" s="132"/>
      <c r="F33" s="133"/>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352838086.77555197</v>
      </c>
      <c r="F35" s="52"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NJRRJvknVmKwvGd3vk2IL3r7oqsErmX0kyPl3YPbJVDa0V0SBBmxwCdjooZHj5GTbJGGuhxx8x4FB6ByD36ZzA==" saltValue="HSJdzOeS08OCULLQou1HKA=="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 style="2" customWidth="1"/>
    <col min="2" max="5" width="9.140625" style="2"/>
    <col min="6" max="6" width="23.7109375" style="2" customWidth="1"/>
    <col min="7" max="7" width="16.28515625" style="2" customWidth="1"/>
    <col min="8" max="8" width="3.42578125" style="2" customWidth="1"/>
    <col min="9" max="9" width="1.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6">
        <v>122039067.92496116</v>
      </c>
      <c r="H5" s="14" t="s">
        <v>3</v>
      </c>
      <c r="I5" s="1"/>
    </row>
    <row r="6" spans="1:9" x14ac:dyDescent="0.25">
      <c r="A6" s="1"/>
      <c r="B6" s="121" t="s">
        <v>120</v>
      </c>
      <c r="C6" s="122"/>
      <c r="D6" s="122"/>
      <c r="E6" s="122"/>
      <c r="F6" s="123"/>
      <c r="G6" s="77">
        <v>0</v>
      </c>
      <c r="H6" s="14" t="s">
        <v>3</v>
      </c>
      <c r="I6" s="1"/>
    </row>
    <row r="7" spans="1:9" x14ac:dyDescent="0.25">
      <c r="A7" s="1"/>
      <c r="B7" s="136" t="s">
        <v>42</v>
      </c>
      <c r="C7" s="137"/>
      <c r="D7" s="137"/>
      <c r="E7" s="137"/>
      <c r="F7" s="138"/>
      <c r="G7" s="76">
        <f>SUM(G5:G6)*'Fane 15. Nøgletal'!C31</f>
        <v>2440781.3584992234</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6">
        <f>(G5-G7)*(1+'Fane 15. Nøgletal'!C10)</f>
        <v>121691256.58137503</v>
      </c>
      <c r="H11" s="14" t="s">
        <v>3</v>
      </c>
      <c r="I11" s="1"/>
    </row>
    <row r="12" spans="1:9" ht="15" customHeight="1" x14ac:dyDescent="0.25">
      <c r="A12" s="1"/>
      <c r="B12" s="136" t="s">
        <v>121</v>
      </c>
      <c r="C12" s="137"/>
      <c r="D12" s="137"/>
      <c r="E12" s="137"/>
      <c r="F12" s="138"/>
      <c r="G12" s="77">
        <v>0</v>
      </c>
      <c r="H12" s="14" t="s">
        <v>3</v>
      </c>
      <c r="I12" s="1"/>
    </row>
    <row r="13" spans="1:9" x14ac:dyDescent="0.25">
      <c r="A13" s="1"/>
      <c r="B13" s="121" t="s">
        <v>118</v>
      </c>
      <c r="C13" s="122"/>
      <c r="D13" s="122"/>
      <c r="E13" s="122"/>
      <c r="F13" s="123"/>
      <c r="G13" s="77">
        <v>0</v>
      </c>
      <c r="H13" s="14" t="s">
        <v>3</v>
      </c>
      <c r="I13" s="1"/>
    </row>
    <row r="14" spans="1:9" x14ac:dyDescent="0.25">
      <c r="A14" s="1"/>
      <c r="B14" s="143" t="s">
        <v>44</v>
      </c>
      <c r="C14" s="144"/>
      <c r="D14" s="144"/>
      <c r="E14" s="144"/>
      <c r="F14" s="145"/>
      <c r="G14" s="77">
        <v>0</v>
      </c>
      <c r="H14" s="14" t="s">
        <v>3</v>
      </c>
      <c r="I14" s="1"/>
    </row>
    <row r="15" spans="1:9" x14ac:dyDescent="0.25">
      <c r="A15" s="1"/>
      <c r="B15" s="136" t="s">
        <v>45</v>
      </c>
      <c r="C15" s="137"/>
      <c r="D15" s="137"/>
      <c r="E15" s="137"/>
      <c r="F15" s="138"/>
      <c r="G15" s="76">
        <f>SUM(G11:G14)*'Fane 15. Nøgletal'!C31</f>
        <v>2433825.1316275005</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6">
        <f>(SUM(G11:G12,G14)-(G15))*(1+'Fane 15. Nøgletal'!C10)</f>
        <v>121344436.50011812</v>
      </c>
      <c r="H19" s="14" t="s">
        <v>3</v>
      </c>
      <c r="I19" s="1"/>
    </row>
    <row r="20" spans="1:9" x14ac:dyDescent="0.25">
      <c r="A20" s="1"/>
      <c r="B20" s="143" t="s">
        <v>47</v>
      </c>
      <c r="C20" s="144"/>
      <c r="D20" s="144"/>
      <c r="E20" s="144"/>
      <c r="F20" s="145"/>
      <c r="G20" s="77">
        <v>0</v>
      </c>
      <c r="H20" s="14" t="s">
        <v>3</v>
      </c>
      <c r="I20" s="1"/>
    </row>
    <row r="21" spans="1:9" x14ac:dyDescent="0.25">
      <c r="A21" s="1"/>
      <c r="B21" s="136" t="s">
        <v>48</v>
      </c>
      <c r="C21" s="137"/>
      <c r="D21" s="137"/>
      <c r="E21" s="137"/>
      <c r="F21" s="138"/>
      <c r="G21" s="76">
        <f>SUM(G19:G20)*'Fane 15. Nøgletal'!C31</f>
        <v>2426888.7300023623</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6">
        <f>(G19+G20-G21)*(1+'Fane 15. Nøgletal'!C12)</f>
        <v>121260223.46118705</v>
      </c>
      <c r="H25" s="14" t="s">
        <v>3</v>
      </c>
      <c r="I25" s="1"/>
    </row>
    <row r="26" spans="1:9" x14ac:dyDescent="0.25">
      <c r="A26" s="1"/>
      <c r="B26" s="143" t="s">
        <v>50</v>
      </c>
      <c r="C26" s="144"/>
      <c r="D26" s="144"/>
      <c r="E26" s="144"/>
      <c r="F26" s="145"/>
      <c r="G26" s="77">
        <v>0</v>
      </c>
      <c r="H26" s="14" t="s">
        <v>3</v>
      </c>
      <c r="I26" s="1"/>
    </row>
    <row r="27" spans="1:9" x14ac:dyDescent="0.25">
      <c r="A27" s="1"/>
      <c r="B27" s="136" t="s">
        <v>51</v>
      </c>
      <c r="C27" s="137"/>
      <c r="D27" s="137"/>
      <c r="E27" s="137"/>
      <c r="F27" s="138"/>
      <c r="G27" s="76">
        <f>(G25+G26)*'Fane 15. Nøgletal'!C31</f>
        <v>2425204.469223741</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6">
        <f>(G25+G26-G27)*(1+'Fane 15. Nøgletal'!C12)</f>
        <v>121176068.86610499</v>
      </c>
      <c r="H31" s="14" t="s">
        <v>3</v>
      </c>
      <c r="I31" s="1"/>
    </row>
    <row r="32" spans="1:9" x14ac:dyDescent="0.25">
      <c r="A32" s="1"/>
      <c r="B32" s="136" t="s">
        <v>137</v>
      </c>
      <c r="C32" s="137"/>
      <c r="D32" s="137"/>
      <c r="E32" s="137"/>
      <c r="F32" s="138"/>
      <c r="G32" s="76">
        <v>240054.86685851999</v>
      </c>
      <c r="H32" s="14" t="s">
        <v>3</v>
      </c>
      <c r="I32" s="1"/>
    </row>
    <row r="33" spans="1:9" x14ac:dyDescent="0.25">
      <c r="A33" s="1"/>
      <c r="B33" s="136" t="s">
        <v>60</v>
      </c>
      <c r="C33" s="137"/>
      <c r="D33" s="137"/>
      <c r="E33" s="137"/>
      <c r="F33" s="138"/>
      <c r="G33" s="76">
        <f>(G31+G32)*'Fane 15. Nøgletal'!C31</f>
        <v>2428322.4746592706</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6">
        <f>(G31+G32-G33)*(1+'Fane 15. Nøgletal'!C14)</f>
        <v>119380461.00245667</v>
      </c>
      <c r="H37" s="14" t="s">
        <v>3</v>
      </c>
      <c r="I37" s="1"/>
    </row>
    <row r="38" spans="1:9" x14ac:dyDescent="0.25">
      <c r="A38" s="1"/>
      <c r="B38" s="136" t="s">
        <v>164</v>
      </c>
      <c r="C38" s="137"/>
      <c r="D38" s="137"/>
      <c r="E38" s="137"/>
      <c r="F38" s="138"/>
      <c r="G38" s="76">
        <v>360944.49327086005</v>
      </c>
      <c r="H38" s="14" t="s">
        <v>3</v>
      </c>
      <c r="I38" s="1"/>
    </row>
    <row r="39" spans="1:9" x14ac:dyDescent="0.25">
      <c r="A39" s="1"/>
      <c r="B39" s="136" t="s">
        <v>162</v>
      </c>
      <c r="C39" s="137"/>
      <c r="D39" s="137"/>
      <c r="E39" s="137"/>
      <c r="F39" s="138"/>
      <c r="G39" s="76">
        <f>(G37+G38)*'Fane 15. Nøgletal'!C31</f>
        <v>2394828.1099145506</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6">
        <f>(G37+G38-G39)*(1+'Fane 15. Nøgletal'!C14)</f>
        <v>117733821.09118617</v>
      </c>
      <c r="H43" s="14" t="s">
        <v>3</v>
      </c>
      <c r="I43" s="1"/>
    </row>
    <row r="44" spans="1:9" x14ac:dyDescent="0.25">
      <c r="A44" s="1"/>
      <c r="B44" s="140" t="s">
        <v>230</v>
      </c>
      <c r="C44" s="141"/>
      <c r="D44" s="141"/>
      <c r="E44" s="141"/>
      <c r="F44" s="142"/>
      <c r="G44" s="80">
        <f>('Fane 2.1. Økonomisk ramme 2023'!C10+'Fane 2.1. Økonomisk ramme 2023'!C12+'Fane 2.1. Økonomisk ramme 2023'!C14)*(1+'Fane 15. Nøgletal'!C15)</f>
        <v>1155251.1155184002</v>
      </c>
      <c r="H44" s="14" t="s">
        <v>3</v>
      </c>
      <c r="I44" s="1"/>
    </row>
    <row r="45" spans="1:9" x14ac:dyDescent="0.25">
      <c r="A45" s="1"/>
      <c r="B45" s="136" t="s">
        <v>163</v>
      </c>
      <c r="C45" s="137"/>
      <c r="D45" s="137"/>
      <c r="E45" s="137"/>
      <c r="F45" s="138"/>
      <c r="G45" s="76">
        <f>SUM(G43:G44)*'Fane 15. Nøgletal'!C31</f>
        <v>2377781.4441340915</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6">
        <f>(G43+G44-G45)*(1+'Fane 15. Nøgletal'!C15)</f>
        <v>120659092.713718</v>
      </c>
      <c r="H52" s="14" t="s">
        <v>3</v>
      </c>
      <c r="I52" s="1"/>
    </row>
    <row r="53" spans="1:9" x14ac:dyDescent="0.25">
      <c r="A53" s="1"/>
      <c r="B53" s="136" t="s">
        <v>138</v>
      </c>
      <c r="C53" s="137"/>
      <c r="D53" s="137"/>
      <c r="E53" s="137"/>
      <c r="F53" s="138"/>
      <c r="G53" s="76">
        <f>(G52)*'Fane 15. Nøgletal'!C31</f>
        <v>2413181.85427436</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6">
        <f>(G52-G53)*(1+'Fane 15. Nøgletal'!C15)</f>
        <v>122455465.28603984</v>
      </c>
      <c r="H57" s="14" t="s">
        <v>3</v>
      </c>
      <c r="I57" s="1"/>
    </row>
    <row r="58" spans="1:9" x14ac:dyDescent="0.25">
      <c r="A58" s="1"/>
      <c r="B58" s="91" t="s">
        <v>152</v>
      </c>
      <c r="C58" s="92"/>
      <c r="D58" s="92"/>
      <c r="E58" s="92"/>
      <c r="F58" s="93"/>
      <c r="G58" s="76">
        <f>(G57)*'Fane 15. Nøgletal'!C31</f>
        <v>2449109.3057207968</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39"/>
      <c r="H61" s="133"/>
      <c r="I61" s="1"/>
    </row>
    <row r="62" spans="1:9" x14ac:dyDescent="0.25">
      <c r="A62" s="1"/>
      <c r="B62" s="91" t="s">
        <v>194</v>
      </c>
      <c r="C62" s="92"/>
      <c r="D62" s="92"/>
      <c r="E62" s="92"/>
      <c r="F62" s="93"/>
      <c r="G62" s="76">
        <f>(G57-G58)*(1+'Fane 15. Nøgletal'!C15)</f>
        <v>124278582.25321843</v>
      </c>
      <c r="H62" s="14" t="s">
        <v>3</v>
      </c>
      <c r="I62" s="1"/>
    </row>
    <row r="63" spans="1:9" x14ac:dyDescent="0.25">
      <c r="A63" s="1"/>
      <c r="B63" s="91" t="s">
        <v>195</v>
      </c>
      <c r="C63" s="92"/>
      <c r="D63" s="92"/>
      <c r="E63" s="92"/>
      <c r="F63" s="93"/>
      <c r="G63" s="76">
        <f>(G62)*'Fane 15. Nøgletal'!C31</f>
        <v>2485571.6450643684</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FpVq2aSoEEGhGyE6siZZh1/vdBvJNm2jJtBQjwoTk0NdLFMOtf6KmRfbqtK4aY0S1diIALXve0lhwB95dgMKOA==" saltValue="BGee+PO2SY3Mwo22+mWROw=="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7109375" style="2" customWidth="1"/>
    <col min="2" max="5" width="9.140625" style="2"/>
    <col min="6" max="6" width="27.5703125" style="2" customWidth="1"/>
    <col min="7" max="7" width="14.140625" style="2" customWidth="1"/>
    <col min="8" max="8" width="3.28515625" style="2" customWidth="1"/>
    <col min="9" max="9" width="2.1406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6">
        <v>249427719.55880713</v>
      </c>
      <c r="H5" s="14" t="s">
        <v>3</v>
      </c>
      <c r="I5" s="1"/>
    </row>
    <row r="6" spans="1:9" x14ac:dyDescent="0.25">
      <c r="A6" s="1"/>
      <c r="B6" s="136" t="s">
        <v>57</v>
      </c>
      <c r="C6" s="137"/>
      <c r="D6" s="137"/>
      <c r="E6" s="137"/>
      <c r="F6" s="138"/>
      <c r="G6" s="76">
        <f>G5*'Fane 15. Nøgletal'!C20</f>
        <v>2269792.2479851451</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6">
        <f>(G5-G6)*(1+'Fane 15. Nøgletal'!C10)</f>
        <v>251483191.03876138</v>
      </c>
      <c r="H10" s="14" t="s">
        <v>3</v>
      </c>
      <c r="I10" s="1"/>
    </row>
    <row r="11" spans="1:9" x14ac:dyDescent="0.25">
      <c r="A11" s="1"/>
      <c r="B11" s="136" t="s">
        <v>122</v>
      </c>
      <c r="C11" s="137"/>
      <c r="D11" s="137"/>
      <c r="E11" s="137"/>
      <c r="F11" s="138"/>
      <c r="G11" s="76">
        <v>1183526.1356193961</v>
      </c>
      <c r="H11" s="14" t="s">
        <v>3</v>
      </c>
      <c r="I11" s="1"/>
    </row>
    <row r="12" spans="1:9" x14ac:dyDescent="0.25">
      <c r="A12" s="1"/>
      <c r="B12" s="143" t="s">
        <v>64</v>
      </c>
      <c r="C12" s="144"/>
      <c r="D12" s="144"/>
      <c r="E12" s="144"/>
      <c r="F12" s="145"/>
      <c r="G12" s="77">
        <v>0</v>
      </c>
      <c r="H12" s="14" t="s">
        <v>3</v>
      </c>
      <c r="I12" s="1"/>
    </row>
    <row r="13" spans="1:9" x14ac:dyDescent="0.25">
      <c r="A13" s="1"/>
      <c r="B13" s="136" t="s">
        <v>65</v>
      </c>
      <c r="C13" s="137"/>
      <c r="D13" s="137"/>
      <c r="E13" s="137"/>
      <c r="F13" s="138"/>
      <c r="G13" s="76">
        <f>SUM(G10:G12)*'Fane 15. Nøgletal'!C21</f>
        <v>4472200.8939865399</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6">
        <f>(SUM(G10:G12)-G13)*(1+'Fane 15. Nøgletal'!C10)</f>
        <v>252537920.31530115</v>
      </c>
      <c r="H17" s="14" t="s">
        <v>3</v>
      </c>
      <c r="I17" s="1"/>
    </row>
    <row r="18" spans="1:9" x14ac:dyDescent="0.25">
      <c r="A18" s="1"/>
      <c r="B18" s="143" t="s">
        <v>68</v>
      </c>
      <c r="C18" s="144"/>
      <c r="D18" s="144"/>
      <c r="E18" s="144"/>
      <c r="F18" s="145"/>
      <c r="G18" s="76">
        <v>3032907.9467365695</v>
      </c>
      <c r="H18" s="14" t="s">
        <v>3</v>
      </c>
      <c r="I18" s="1"/>
    </row>
    <row r="19" spans="1:9" x14ac:dyDescent="0.25">
      <c r="A19" s="1"/>
      <c r="B19" s="136" t="s">
        <v>69</v>
      </c>
      <c r="C19" s="137"/>
      <c r="D19" s="137"/>
      <c r="E19" s="137"/>
      <c r="F19" s="138"/>
      <c r="G19" s="76">
        <f>G17*'Fane 15. Nøgletal'!C21+G18*'Fane 15. Nøgletal'!C22</f>
        <v>4496307.4887174387</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6">
        <f>(G17+G18-G19)*(1+'Fane 15. Nøgletal'!C12)</f>
        <v>256020688.8325547</v>
      </c>
      <c r="H23" s="14" t="s">
        <v>3</v>
      </c>
      <c r="I23" s="1"/>
    </row>
    <row r="24" spans="1:9" x14ac:dyDescent="0.25">
      <c r="A24" s="1"/>
      <c r="B24" s="143" t="s">
        <v>72</v>
      </c>
      <c r="C24" s="144"/>
      <c r="D24" s="144"/>
      <c r="E24" s="144"/>
      <c r="F24" s="145"/>
      <c r="G24" s="76">
        <v>1153276.8008711401</v>
      </c>
      <c r="H24" s="14" t="s">
        <v>3</v>
      </c>
      <c r="I24" s="1"/>
    </row>
    <row r="25" spans="1:9" x14ac:dyDescent="0.25">
      <c r="A25" s="1"/>
      <c r="B25" s="136" t="s">
        <v>73</v>
      </c>
      <c r="C25" s="137"/>
      <c r="D25" s="137"/>
      <c r="E25" s="137"/>
      <c r="F25" s="138"/>
      <c r="G25" s="76">
        <f>(G23+G24)*'Fane 15. Nøgletal'!C23</f>
        <v>7303740.6239892943</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6">
        <f>(G23+G24-G25)*(1+'Fane 15. Nøgletal'!C12)</f>
        <v>254792668.44212246</v>
      </c>
      <c r="H29" s="14" t="s">
        <v>3</v>
      </c>
      <c r="I29" s="1"/>
    </row>
    <row r="30" spans="1:9" x14ac:dyDescent="0.25">
      <c r="A30" s="1"/>
      <c r="B30" s="136" t="s">
        <v>139</v>
      </c>
      <c r="C30" s="137"/>
      <c r="D30" s="137"/>
      <c r="E30" s="137"/>
      <c r="F30" s="138"/>
      <c r="G30" s="76">
        <v>2097358.0285593597</v>
      </c>
      <c r="H30" s="14" t="s">
        <v>3</v>
      </c>
      <c r="I30" s="1"/>
    </row>
    <row r="31" spans="1:9" x14ac:dyDescent="0.25">
      <c r="A31" s="1"/>
      <c r="B31" s="136" t="s">
        <v>76</v>
      </c>
      <c r="C31" s="137"/>
      <c r="D31" s="137"/>
      <c r="E31" s="137"/>
      <c r="F31" s="138"/>
      <c r="G31" s="76">
        <f>G29*'Fane 15. Nøgletal'!C23+G30*'Fane 15. Nøgletal'!C24</f>
        <v>7293789.1295416607</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6">
        <f>(G29+G30-G31)*(1+'Fane 15. Nøgletal'!C14)</f>
        <v>250419904.92436594</v>
      </c>
      <c r="H35" s="14" t="s">
        <v>3</v>
      </c>
      <c r="I35" s="1"/>
    </row>
    <row r="36" spans="1:9" x14ac:dyDescent="0.25">
      <c r="A36" s="1"/>
      <c r="B36" s="136" t="s">
        <v>167</v>
      </c>
      <c r="C36" s="137"/>
      <c r="D36" s="137"/>
      <c r="E36" s="137"/>
      <c r="F36" s="138"/>
      <c r="G36" s="76">
        <v>6697419.1202962613</v>
      </c>
      <c r="H36" s="14" t="s">
        <v>3</v>
      </c>
      <c r="I36" s="1"/>
    </row>
    <row r="37" spans="1:9" x14ac:dyDescent="0.25">
      <c r="A37" s="1"/>
      <c r="B37" s="136" t="s">
        <v>166</v>
      </c>
      <c r="C37" s="137"/>
      <c r="D37" s="137"/>
      <c r="E37" s="137"/>
      <c r="F37" s="138"/>
      <c r="G37" s="76">
        <f>(G35+G36)*'Fane 15. Nøgletal'!C25</f>
        <v>3805336.3958610008</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6">
        <f>(G35+G36-G37)*(1+'Fane 15. Nøgletal'!C14)</f>
        <v>254147917.20804226</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7558192.2702528015</v>
      </c>
      <c r="H42" s="14" t="s">
        <v>3</v>
      </c>
      <c r="I42" s="1"/>
    </row>
    <row r="43" spans="1:9" x14ac:dyDescent="0.25">
      <c r="A43" s="1"/>
      <c r="B43" s="136" t="s">
        <v>168</v>
      </c>
      <c r="C43" s="137"/>
      <c r="D43" s="137"/>
      <c r="E43" s="137"/>
      <c r="F43" s="138"/>
      <c r="G43" s="76">
        <f>(G41)*'Fane 15. Nøgletal'!C25+G42*'Fane 15. Nøgletal'!C26</f>
        <v>3761389.1746790255</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6">
        <f>(G41+G42-G43)*(1+'Fane 15. Nøgletal'!C15)</f>
        <v>267127552.34642479</v>
      </c>
      <c r="H53" s="14" t="s">
        <v>3</v>
      </c>
      <c r="I53" s="1"/>
    </row>
    <row r="54" spans="1:9" x14ac:dyDescent="0.25">
      <c r="A54" s="1"/>
      <c r="B54" s="136" t="s">
        <v>141</v>
      </c>
      <c r="C54" s="137"/>
      <c r="D54" s="137"/>
      <c r="E54" s="137"/>
      <c r="F54" s="138"/>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6">
        <f>(G53-G54)*(1+'Fane 15. Nøgletal'!C15)</f>
        <v>276637293.20995754</v>
      </c>
      <c r="H58" s="14" t="s">
        <v>3</v>
      </c>
      <c r="I58" s="1"/>
    </row>
    <row r="59" spans="1:9" x14ac:dyDescent="0.25">
      <c r="A59" s="1"/>
      <c r="B59" s="136" t="s">
        <v>174</v>
      </c>
      <c r="C59" s="137"/>
      <c r="D59" s="137"/>
      <c r="E59" s="137"/>
      <c r="F59" s="138"/>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6">
        <f>(G58-G59)*(1+'Fane 15. Nøgletal'!C15)</f>
        <v>286485580.84823203</v>
      </c>
      <c r="H63" s="14" t="s">
        <v>3</v>
      </c>
      <c r="I63" s="1"/>
    </row>
    <row r="64" spans="1:9" x14ac:dyDescent="0.25">
      <c r="A64" s="1"/>
      <c r="B64" s="136" t="s">
        <v>198</v>
      </c>
      <c r="C64" s="137"/>
      <c r="D64" s="137"/>
      <c r="E64" s="137"/>
      <c r="F64" s="138"/>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g3P7J/hkJJscfMVRGLq86x1dQxJmHl+iihKw1HgMpdCF935FXaAqetgVrzv04ix0MxW5Xguxtn2LFkGnrSo6Iw==" saltValue="G4R8Llh8uFuG2TbEtJyCZw=="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36" t="s">
        <v>154</v>
      </c>
      <c r="C9" s="137"/>
      <c r="D9" s="137"/>
      <c r="E9" s="137"/>
      <c r="F9" s="138"/>
      <c r="G9" s="35">
        <v>0</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eZTPxJyCP9GQLE57kKur4gD/w3AhVhyHIN4U1ijmDZiI73M/CnOrNJwZu0edByxAaL8JaNr0ek45K/3IvKJ3Zg==" saltValue="wpkaXTp7eRdpVMpkICXkj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2022-12-01T08:54:48Z</dcterms:modified>
</cp:coreProperties>
</file>