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FS Spildevand AS (S07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C10" i="2" l="1"/>
  <c r="E12" i="20" l="1"/>
  <c r="E16" i="40" l="1"/>
  <c r="E12" i="40"/>
  <c r="C15" i="19" l="1"/>
  <c r="E28" i="32" l="1"/>
  <c r="E32" i="32" l="1"/>
  <c r="C31" i="2" s="1"/>
  <c r="E38" i="32"/>
  <c r="E20" i="32"/>
  <c r="E12" i="32"/>
  <c r="E16" i="27" l="1"/>
  <c r="E17" i="27" s="1"/>
  <c r="E11" i="11" l="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5" i="2"/>
  <c r="C20" i="23"/>
  <c r="C33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8" i="2" s="1"/>
  <c r="C27" i="2"/>
  <c r="C24" i="23" l="1"/>
  <c r="C24" i="22"/>
  <c r="C24" i="15"/>
  <c r="C29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2" i="11" l="1"/>
  <c r="C10" i="37" s="1"/>
  <c r="C12" i="37" s="1"/>
  <c r="G12" i="11"/>
  <c r="C13" i="37" l="1"/>
  <c r="C11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6" i="2"/>
  <c r="C15" i="2"/>
  <c r="C23" i="2"/>
  <c r="C13" i="2"/>
  <c r="G33" i="30" s="1"/>
  <c r="C14" i="2"/>
  <c r="G28" i="30" l="1"/>
  <c r="E18" i="27" s="1"/>
  <c r="E20" i="27" s="1"/>
  <c r="E35" i="27" s="1"/>
  <c r="C9" i="2" l="1"/>
  <c r="G32" i="30"/>
  <c r="E12" i="11"/>
  <c r="E10" i="37" s="1"/>
  <c r="E12" i="37" s="1"/>
  <c r="E13" i="37" l="1"/>
  <c r="C12" i="2" s="1"/>
  <c r="C17" i="2" s="1"/>
  <c r="G34" i="30"/>
  <c r="G38" i="30" l="1"/>
  <c r="G40" i="30" s="1"/>
  <c r="C19" i="2"/>
  <c r="C18" i="2"/>
  <c r="G30" i="36"/>
  <c r="G31" i="36" l="1"/>
  <c r="C20" i="2" s="1"/>
  <c r="G44" i="30"/>
  <c r="C14" i="15"/>
  <c r="C34" i="2" l="1"/>
  <c r="C21" i="2"/>
  <c r="C9" i="15" s="1"/>
  <c r="C12" i="15" s="1"/>
  <c r="G35" i="36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<sst xmlns="http://schemas.openxmlformats.org/spreadsheetml/2006/main" count="695" uniqueCount="281">
  <si>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</si>
  <si>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</si>
  <si>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</si>
  <si>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</si>
  <si>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</si>
  <si>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</si>
  <si>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</si>
  <si>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</si>
  <si>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</si>
  <si>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</si>
  <si>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</si>
  <si>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</si>
  <si>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</si>
  <si>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</si>
  <si>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</si>
  <si>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</si>
  <si>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</si>
  <si>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</si>
  <si>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</si>
  <si>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</si>
  <si>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</si>
  <si>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</si>
  <si>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</si>
  <si>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</si>
  <si>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</si>
  <si>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</si>
  <si>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</si>
  <si>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</si>
  <si>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</si>
  <si>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</si>
  <si>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</si>
  <si>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</si>
  <si>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</si>
  <si>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</si>
  <si>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</si>
  <si>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</si>
  <si>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</si>
  <si>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</si>
  <si>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</si>
  <si>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</si>
  <si>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</si>
  <si>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</si>
  <si>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</si>
  <si>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</si>
  <si>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</si>
  <si>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</si>
  <si>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</si>
  <si>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</si>
  <si>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</si>
  <si>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</si>
  <si>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</si>
  <si>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</si>
  <si>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</si>
  <si>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</si>
  <si>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</si>
  <si>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</si>
  <si>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</si>
  <si>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</si>
  <si>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</si>
  <si>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</si>
  <si>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</si>
  <si>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</si>
  <si>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</si>
  <si>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</si>
  <si>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</si>
  <si>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</si>
  <si>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</si>
  <si>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</si>
  <si>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</si>
  <si>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</si>
  <si>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</si>
  <si>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</si>
  <si>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</si>
  <si>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</si>
  <si>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</si>
  <si>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</si>
  <si>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</si>
  <si>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</si>
  <si>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</si>
  <si>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</si>
  <si>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</si>
  <si>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</si>
  <si>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</si>
  <si>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</si>
  <si>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</si>
  <si>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</si>
  <si>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</si>
  <si>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</si>
  <si>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</si>
  <si>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</si>
  <si>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</si>
  <si>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</si>
  <si>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</si>
  <si>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</si>
  <si>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</si>
  <si>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</si>
  <si>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</si>
  <si>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</si>
  <si>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</si>
  <si>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</si>
  <si>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</si>
  <si>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</si>
  <si>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</si>
  <si>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</si>
  <si>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</si>
  <si>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</si>
  <si>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</si>
  <si>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</si>
  <si>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</si>
  <si>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</si>
  <si>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</si>
  <si>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</si>
  <si>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</si>
  <si>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</si>
  <si>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</si>
  <si>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</si>
  <si>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</si>
  <si>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</si>
  <si>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</si>
  <si>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</si>
  <si>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</si>
  <si>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</si>
  <si>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</si>
  <si>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</si>
  <si>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</si>
  <si>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</si>
  <si>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</si>
  <si>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</si>
  <si>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</si>
  <si>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</si>
  <si>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</si>
  <si>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</si>
  <si>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</si>
  <si>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</si>
  <si>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</si>
  <si>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</si>
  <si>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</si>
  <si>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</si>
  <si>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</si>
  <si>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</si>
  <si>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</si>
  <si>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</si>
  <si>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</si>
  <si>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</si>
  <si>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</si>
  <si>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</si>
  <si>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</si>
  <si>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</si>
  <si>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</si>
  <si>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</si>
  <si>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</si>
  <si>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</si>
  <si>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</si>
  <si>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</si>
  <si>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</si>
  <si>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</si>
  <si>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</si>
  <si>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</si>
  <si>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</si>
  <si>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</si>
  <si>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</si>
  <si>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</si>
  <si>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</si>
  <si>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</si>
  <si>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</si>
  <si>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</si>
  <si>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</si>
  <si>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</si>
  <si>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</si>
  <si>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</si>
  <si>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</si>
  <si>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</si>
  <si>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</si>
  <si>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</si>
  <si>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</si>
  <si>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</si>
  <si>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</si>
  <si>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</si>
  <si>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</si>
  <si>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</si>
  <si>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</si>
  <si>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</si>
  <si>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</si>
  <si>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</si>
  <si>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</si>
  <si>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</si>
  <si>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</si>
  <si>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</si>
  <si>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</si>
  <si>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</si>
  <si>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</si>
  <si>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</si>
  <si>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</si>
  <si>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</si>
  <si>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</si>
  <si>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</si>
  <si>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</si>
  <si>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</si>
  <si>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</si>
  <si>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</si>
  <si>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</si>
  <si>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</si>
  <si>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</si>
  <si>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</si>
  <si>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</si>
  <si>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</si>
  <si>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</si>
  <si>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</si>
  <si>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</si>
  <si>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</si>
  <si>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</si>
  <si>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</si>
  <si>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</si>
  <si>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</si>
  <si>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</si>
  <si>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</si>
  <si>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</si>
  <si>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</si>
  <si>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</si>
  <si>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</si>
  <si>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</si>
  <si>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</si>
  <si>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</si>
  <si>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</si>
  <si>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</si>
  <si>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</si>
  <si>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</si>
  <si>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</si>
  <si>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</si>
  <si>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</si>
  <si>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</si>
  <si>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</si>
  <si>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</si>
  <si>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</si>
  <si>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</si>
  <si>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</si>
  <si>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</si>
  <si>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</si>
  <si>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</si>
  <si>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</si>
  <si>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</si>
  <si>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</si>
  <si>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</si>
  <si>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</si>
  <si>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</si>
  <si>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</si>
  <si>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</si>
  <si>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</si>
  <si>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</si>
  <si>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</si>
  <si>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</si>
  <si>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</si>
  <si>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</si>
  <si>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</si>
  <si>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</si>
  <si>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</si>
  <si>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</si>
  <si>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</si>
  <si>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</si>
  <si>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</si>
  <si>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</si>
  <si>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</si>
  <si>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</si>
  <si>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</si>
  <si>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</si>
  <si>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</si>
  <si>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</si>
  <si>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</si>
  <si>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</si>
  <si>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</si>
  <si>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Ingen tilknyttet virksomhed</t>
  </si>
  <si>
    <t>Ingen bortfald eller nedsættelse</t>
  </si>
  <si>
    <t>Håndteret vandmængde</t>
  </si>
  <si>
    <t>Ingen engangstillæg</t>
  </si>
  <si>
    <t>Ø 800 mm &lt; Ledningsnet ≤ Ø 1000 mm</t>
  </si>
  <si>
    <t>75</t>
  </si>
  <si>
    <t>Ø 200 mm &lt; Ledningsnet ≤ Ø 500 mm</t>
  </si>
  <si>
    <t>Periodevise driftsomkostninger i alt i 2018-prisniveau</t>
  </si>
  <si>
    <t>Yderligere opkrævningsret efter § 17, stk. 10 - 2017</t>
  </si>
  <si>
    <t>Yderligere opkrævningsret efter § 17, stk. 10 - 2018</t>
  </si>
  <si>
    <t>Korrektion af pris- og levetidskatalog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</si>
</sst>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4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4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4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4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4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4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4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4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4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4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4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4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4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4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4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4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5" t="s">
        <v>165</v>
      </c>
      <c r="C3" s="75"/>
      <c r="D3" s="75"/>
      <c r="E3" s="1"/>
      <c r="F3" s="1"/>
    </row>
    <row r="4" spans="1:6" ht="15" customHeight="1" x14ac:dyDescent="0.45">
      <c r="A4" s="1"/>
      <c r="B4" s="75"/>
      <c r="C4" s="75"/>
      <c r="D4" s="7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196</v>
      </c>
      <c r="C8" s="90"/>
      <c r="D8" s="91"/>
      <c r="E8" s="1"/>
      <c r="F8" s="1"/>
    </row>
    <row r="9" spans="1:6" ht="15" customHeight="1" x14ac:dyDescent="0.4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45">
      <c r="A10" s="1"/>
      <c r="B10" s="54" t="s">
        <v>265</v>
      </c>
      <c r="C10" s="9">
        <v>2125441</v>
      </c>
      <c r="D10" s="14" t="s">
        <v>3</v>
      </c>
      <c r="E10" s="1"/>
      <c r="F10" s="1"/>
    </row>
    <row r="11" spans="1:6" ht="15" customHeight="1" x14ac:dyDescent="0.45">
      <c r="A11" s="1"/>
      <c r="B11" s="54" t="s">
        <v>266</v>
      </c>
      <c r="C11" s="9">
        <v>65553</v>
      </c>
      <c r="D11" s="14" t="s">
        <v>3</v>
      </c>
      <c r="E11" s="1"/>
      <c r="F11" s="1"/>
    </row>
    <row r="12" spans="1:6" x14ac:dyDescent="0.45">
      <c r="A12" s="1"/>
      <c r="B12" s="54" t="s">
        <v>267</v>
      </c>
      <c r="C12" s="9">
        <v>400000</v>
      </c>
      <c r="D12" s="14" t="s">
        <v>3</v>
      </c>
      <c r="E12" s="1"/>
      <c r="F12" s="1"/>
    </row>
    <row r="13" spans="1:6" x14ac:dyDescent="0.45">
      <c r="A13" s="1"/>
      <c r="B13" s="54" t="s">
        <v>268</v>
      </c>
      <c r="C13" s="9">
        <v>978985</v>
      </c>
      <c r="D13" s="14" t="s">
        <v>3</v>
      </c>
      <c r="E13" s="1"/>
      <c r="F13" s="1"/>
    </row>
    <row r="14" spans="1:6" x14ac:dyDescent="0.45">
      <c r="A14" s="1"/>
      <c r="B14" s="54" t="s">
        <v>269</v>
      </c>
      <c r="C14" s="9">
        <v>89624</v>
      </c>
      <c r="D14" s="14" t="s">
        <v>3</v>
      </c>
      <c r="E14" s="1"/>
      <c r="F14" s="1"/>
    </row>
    <row r="15" spans="1:6" x14ac:dyDescent="0.45">
      <c r="A15" s="1"/>
      <c r="B15" s="38" t="s">
        <v>198</v>
      </c>
      <c r="C15" s="12">
        <f>SUM(C10:C14)</f>
        <v>3659603</v>
      </c>
      <c r="D15" s="13" t="s">
        <v>3</v>
      </c>
      <c r="E15" s="1"/>
      <c r="F15" s="1"/>
    </row>
    <row r="16" spans="1:6" x14ac:dyDescent="0.45">
      <c r="A16" s="1"/>
      <c r="B16" s="38" t="s">
        <v>199</v>
      </c>
      <c r="C16" s="12">
        <f>C15*(1+'Fane 14. Nøgletal'!C13)^2</f>
        <v>3749442.0085105202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89" t="s">
        <v>178</v>
      </c>
      <c r="C19" s="90"/>
      <c r="D19" s="91"/>
      <c r="E19" s="1"/>
      <c r="F19" s="1"/>
    </row>
    <row r="20" spans="1:6" x14ac:dyDescent="0.4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89"/>
      <c r="C24" s="90"/>
      <c r="D24" s="9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89" t="s">
        <v>146</v>
      </c>
      <c r="C27" s="90"/>
      <c r="D27" s="91"/>
      <c r="E27" s="1"/>
      <c r="F27" s="1"/>
    </row>
    <row r="28" spans="1:6" x14ac:dyDescent="0.4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89"/>
      <c r="C32" s="90"/>
      <c r="D32" s="9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51"/>
      <c r="C5" s="51"/>
      <c r="D5" s="51"/>
      <c r="E5" s="51"/>
      <c r="F5" s="51"/>
      <c r="G5" s="1"/>
    </row>
    <row r="6" spans="1:7" ht="15" customHeight="1" x14ac:dyDescent="0.45">
      <c r="A6" s="1"/>
      <c r="B6" s="51"/>
      <c r="C6" s="51"/>
      <c r="D6" s="51"/>
      <c r="E6" s="51"/>
      <c r="F6" s="5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137</v>
      </c>
      <c r="C8" s="90"/>
      <c r="D8" s="90"/>
      <c r="E8" s="90"/>
      <c r="F8" s="91"/>
      <c r="G8" s="1"/>
    </row>
    <row r="9" spans="1:7" x14ac:dyDescent="0.45">
      <c r="A9" s="1"/>
      <c r="B9" s="92" t="s">
        <v>138</v>
      </c>
      <c r="C9" s="93"/>
      <c r="D9" s="94"/>
      <c r="E9" s="9">
        <v>64513286.317421913</v>
      </c>
      <c r="F9" s="14" t="s">
        <v>3</v>
      </c>
      <c r="G9" s="1"/>
    </row>
    <row r="10" spans="1:7" x14ac:dyDescent="0.45">
      <c r="A10" s="1"/>
      <c r="B10" s="92" t="s">
        <v>139</v>
      </c>
      <c r="C10" s="93"/>
      <c r="D10" s="94"/>
      <c r="E10" s="9">
        <v>60862591</v>
      </c>
      <c r="F10" s="14" t="s">
        <v>3</v>
      </c>
      <c r="G10" s="1"/>
    </row>
    <row r="11" spans="1:7" x14ac:dyDescent="0.4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45">
      <c r="A12" s="1"/>
      <c r="B12" s="82" t="s">
        <v>140</v>
      </c>
      <c r="C12" s="83"/>
      <c r="D12" s="101"/>
      <c r="E12" s="10">
        <f>E9-(E10-E11)</f>
        <v>3650695.3174219131</v>
      </c>
      <c r="F12" s="17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27" customHeight="1" x14ac:dyDescent="0.4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9" t="s">
        <v>52</v>
      </c>
      <c r="C16" s="90"/>
      <c r="D16" s="90"/>
      <c r="E16" s="90"/>
      <c r="F16" s="91"/>
      <c r="G16" s="1"/>
    </row>
    <row r="17" spans="1:7" x14ac:dyDescent="0.45">
      <c r="A17" s="1"/>
      <c r="B17" s="92" t="s">
        <v>53</v>
      </c>
      <c r="C17" s="93"/>
      <c r="D17" s="94"/>
      <c r="E17" s="9">
        <v>62123592.410395578</v>
      </c>
      <c r="F17" s="14" t="s">
        <v>3</v>
      </c>
      <c r="G17" s="1"/>
    </row>
    <row r="18" spans="1:7" x14ac:dyDescent="0.45">
      <c r="A18" s="1"/>
      <c r="B18" s="92" t="s">
        <v>54</v>
      </c>
      <c r="C18" s="93"/>
      <c r="D18" s="94"/>
      <c r="E18" s="9">
        <v>62260193</v>
      </c>
      <c r="F18" s="14" t="s">
        <v>3</v>
      </c>
      <c r="G18" s="1"/>
    </row>
    <row r="19" spans="1:7" x14ac:dyDescent="0.4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45">
      <c r="A20" s="1"/>
      <c r="B20" s="82" t="s">
        <v>55</v>
      </c>
      <c r="C20" s="83"/>
      <c r="D20" s="101"/>
      <c r="E20" s="10">
        <f>E17-(E18-E19)</f>
        <v>-136600.58960442245</v>
      </c>
      <c r="F20" s="17" t="s">
        <v>3</v>
      </c>
      <c r="G20" s="1"/>
    </row>
    <row r="21" spans="1:7" x14ac:dyDescent="0.45">
      <c r="A21" s="1"/>
      <c r="B21" s="38"/>
      <c r="C21" s="32"/>
      <c r="D21" s="32"/>
      <c r="E21" s="32"/>
      <c r="F21" s="20"/>
      <c r="G21" s="1"/>
    </row>
    <row r="22" spans="1:7" ht="28.5" customHeight="1" x14ac:dyDescent="0.4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9" t="s">
        <v>245</v>
      </c>
      <c r="C24" s="90"/>
      <c r="D24" s="90"/>
      <c r="E24" s="90"/>
      <c r="F24" s="91"/>
      <c r="G24" s="1"/>
    </row>
    <row r="25" spans="1:7" x14ac:dyDescent="0.45">
      <c r="A25" s="1"/>
      <c r="B25" s="92" t="s">
        <v>246</v>
      </c>
      <c r="C25" s="93"/>
      <c r="D25" s="94"/>
      <c r="E25" s="9">
        <v>64739983.097973756</v>
      </c>
      <c r="F25" s="14" t="s">
        <v>3</v>
      </c>
      <c r="G25" s="1"/>
    </row>
    <row r="26" spans="1:7" x14ac:dyDescent="0.45">
      <c r="A26" s="1"/>
      <c r="B26" s="92" t="s">
        <v>247</v>
      </c>
      <c r="C26" s="93"/>
      <c r="D26" s="94"/>
      <c r="E26" s="9">
        <v>64294869</v>
      </c>
      <c r="F26" s="14" t="s">
        <v>3</v>
      </c>
      <c r="G26" s="1"/>
    </row>
    <row r="27" spans="1:7" x14ac:dyDescent="0.4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45">
      <c r="A28" s="1"/>
      <c r="B28" s="82" t="s">
        <v>248</v>
      </c>
      <c r="C28" s="83"/>
      <c r="D28" s="101"/>
      <c r="E28" s="10">
        <f>E25-(E26-E27)</f>
        <v>445114.09797375649</v>
      </c>
      <c r="F28" s="17" t="s">
        <v>3</v>
      </c>
      <c r="G28" s="1"/>
    </row>
    <row r="29" spans="1:7" x14ac:dyDescent="0.45">
      <c r="A29" s="1"/>
      <c r="B29" s="38"/>
      <c r="C29" s="32"/>
      <c r="D29" s="32"/>
      <c r="E29" s="32"/>
      <c r="F29" s="20"/>
      <c r="G29" s="1"/>
    </row>
    <row r="30" spans="1:7" ht="28.5" customHeight="1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9" t="s">
        <v>250</v>
      </c>
      <c r="C31" s="90"/>
      <c r="D31" s="90"/>
      <c r="E31" s="90"/>
      <c r="F31" s="91"/>
      <c r="G31" s="1"/>
    </row>
    <row r="32" spans="1:7" x14ac:dyDescent="0.4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45">
      <c r="A33" s="1"/>
      <c r="B33" s="89"/>
      <c r="C33" s="90"/>
      <c r="D33" s="90"/>
      <c r="E33" s="90"/>
      <c r="F33" s="91"/>
      <c r="G33" s="1"/>
    </row>
    <row r="34" spans="1:7" ht="28.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9" t="s">
        <v>249</v>
      </c>
      <c r="C35" s="90"/>
      <c r="D35" s="90"/>
      <c r="E35" s="90"/>
      <c r="F35" s="91"/>
      <c r="G35" s="1"/>
    </row>
    <row r="36" spans="1:7" x14ac:dyDescent="0.45">
      <c r="A36" s="1"/>
      <c r="B36" s="102" t="s">
        <v>278</v>
      </c>
      <c r="C36" s="103"/>
      <c r="D36" s="104"/>
      <c r="E36" s="9">
        <v>1</v>
      </c>
      <c r="F36" s="14"/>
      <c r="G36" s="1"/>
    </row>
    <row r="37" spans="1:7" x14ac:dyDescent="0.45">
      <c r="A37" s="1"/>
      <c r="B37" s="102" t="s">
        <v>279</v>
      </c>
      <c r="C37" s="103"/>
      <c r="D37" s="104"/>
      <c r="E37" s="9">
        <v>0</v>
      </c>
      <c r="F37" s="14"/>
      <c r="G37" s="1"/>
    </row>
    <row r="38" spans="1:7" x14ac:dyDescent="0.4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4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4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45">
      <c r="A41" s="1"/>
      <c r="B41" s="105"/>
      <c r="C41" s="106"/>
      <c r="D41" s="106"/>
      <c r="E41" s="106"/>
      <c r="F41" s="107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7" spans="1:7" x14ac:dyDescent="0.45">
      <c r="A47" s="42"/>
      <c r="B47" s="42"/>
      <c r="C47" s="42"/>
      <c r="D47" s="42"/>
      <c r="E47" s="42"/>
      <c r="F47" s="42"/>
      <c r="G47" s="42"/>
    </row>
    <row r="48" spans="1:7" x14ac:dyDescent="0.45">
      <c r="A48" s="42"/>
      <c r="B48" s="42"/>
      <c r="C48" s="42"/>
      <c r="D48" s="42"/>
      <c r="E48" s="42"/>
      <c r="F48" s="42"/>
      <c r="G48" s="42"/>
    </row>
    <row r="49" spans="1:7" x14ac:dyDescent="0.45">
      <c r="A49" s="42"/>
      <c r="B49" s="42"/>
      <c r="C49" s="42"/>
      <c r="D49" s="42"/>
      <c r="E49" s="42"/>
      <c r="F49" s="42"/>
      <c r="G49" s="42"/>
    </row>
    <row r="50" spans="1:7" x14ac:dyDescent="0.45">
      <c r="A50" s="42"/>
      <c r="B50" s="42"/>
      <c r="C50" s="42"/>
      <c r="D50" s="42"/>
      <c r="E50" s="42"/>
      <c r="F50" s="42"/>
      <c r="G50" s="42"/>
    </row>
    <row r="51" spans="1:7" x14ac:dyDescent="0.45">
      <c r="A51" s="42"/>
      <c r="B51" s="42"/>
      <c r="C51" s="42"/>
      <c r="D51" s="42"/>
      <c r="E51" s="42"/>
      <c r="F51" s="42"/>
      <c r="G51" s="42"/>
    </row>
    <row r="52" spans="1:7" x14ac:dyDescent="0.45">
      <c r="A52" s="42"/>
      <c r="B52" s="42"/>
      <c r="C52" s="42"/>
      <c r="D52" s="42"/>
      <c r="E52" s="42"/>
      <c r="F52" s="42"/>
      <c r="G52" s="42"/>
    </row>
    <row r="53" spans="1:7" x14ac:dyDescent="0.45">
      <c r="A53" s="42"/>
      <c r="B53" s="42"/>
      <c r="C53" s="42"/>
      <c r="D53" s="42"/>
      <c r="E53" s="42"/>
      <c r="F53" s="42"/>
      <c r="G53" s="42"/>
    </row>
    <row r="54" spans="1:7" x14ac:dyDescent="0.45">
      <c r="A54" s="42"/>
      <c r="B54" s="42"/>
      <c r="C54" s="42"/>
      <c r="D54" s="42"/>
      <c r="E54" s="42"/>
      <c r="F54" s="42"/>
      <c r="G54" s="42"/>
    </row>
    <row r="55" spans="1:7" x14ac:dyDescent="0.45">
      <c r="A55" s="42"/>
      <c r="B55" s="42"/>
      <c r="C55" s="42"/>
      <c r="D55" s="42"/>
      <c r="E55" s="42"/>
      <c r="F55" s="42"/>
      <c r="G55" s="42"/>
    </row>
    <row r="56" spans="1:7" x14ac:dyDescent="0.45">
      <c r="A56" s="42"/>
      <c r="B56" s="42"/>
      <c r="C56" s="42"/>
      <c r="D56" s="42"/>
      <c r="E56" s="42"/>
      <c r="F56" s="42"/>
      <c r="G56" s="42"/>
    </row>
    <row r="57" spans="1:7" x14ac:dyDescent="0.45">
      <c r="A57" s="42"/>
      <c r="B57" s="42"/>
      <c r="C57" s="42"/>
      <c r="D57" s="42"/>
      <c r="E57" s="42"/>
      <c r="F57" s="42"/>
      <c r="G57" s="42"/>
    </row>
    <row r="58" spans="1:7" x14ac:dyDescent="0.45">
      <c r="A58" s="42"/>
      <c r="B58" s="42"/>
      <c r="C58" s="42"/>
      <c r="D58" s="42"/>
      <c r="E58" s="42"/>
      <c r="F58" s="42"/>
      <c r="G58" s="42"/>
    </row>
    <row r="59" spans="1:7" x14ac:dyDescent="0.45">
      <c r="A59" s="42"/>
      <c r="B59" s="42"/>
      <c r="C59" s="42"/>
      <c r="D59" s="42"/>
      <c r="E59" s="42"/>
      <c r="F59" s="42"/>
      <c r="G59" s="42"/>
    </row>
    <row r="60" spans="1:7" x14ac:dyDescent="0.4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9" t="s">
        <v>202</v>
      </c>
      <c r="C9" s="90"/>
      <c r="D9" s="90"/>
      <c r="E9" s="90"/>
      <c r="F9" s="91"/>
      <c r="G9" s="1"/>
    </row>
    <row r="10" spans="1:7" x14ac:dyDescent="0.45">
      <c r="A10" s="1"/>
      <c r="B10" s="77" t="s">
        <v>150</v>
      </c>
      <c r="C10" s="78"/>
      <c r="D10" s="79"/>
      <c r="E10" s="7">
        <v>1441257</v>
      </c>
      <c r="F10" s="8" t="s">
        <v>3</v>
      </c>
      <c r="G10" s="1"/>
    </row>
    <row r="11" spans="1:7" x14ac:dyDescent="0.45">
      <c r="A11" s="1"/>
      <c r="B11" s="92" t="s">
        <v>203</v>
      </c>
      <c r="C11" s="93"/>
      <c r="D11" s="94"/>
      <c r="E11" s="7">
        <v>1674542</v>
      </c>
      <c r="F11" s="8" t="s">
        <v>3</v>
      </c>
      <c r="G11" s="1"/>
    </row>
    <row r="12" spans="1:7" x14ac:dyDescent="0.45">
      <c r="A12" s="1"/>
      <c r="B12" s="82" t="s">
        <v>151</v>
      </c>
      <c r="C12" s="83"/>
      <c r="D12" s="101"/>
      <c r="E12" s="10">
        <f>E11-E10</f>
        <v>233285</v>
      </c>
      <c r="F12" s="11" t="s">
        <v>3</v>
      </c>
      <c r="G12" s="1"/>
    </row>
    <row r="13" spans="1:7" x14ac:dyDescent="0.45">
      <c r="A13" s="1"/>
      <c r="B13" s="89" t="s">
        <v>134</v>
      </c>
      <c r="C13" s="90"/>
      <c r="D13" s="90"/>
      <c r="E13" s="90"/>
      <c r="F13" s="91"/>
      <c r="G13" s="1"/>
    </row>
    <row r="14" spans="1:7" x14ac:dyDescent="0.4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4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206</v>
      </c>
      <c r="C17" s="32"/>
      <c r="D17" s="32"/>
      <c r="E17" s="12">
        <f>E12+E16</f>
        <v>233285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65" x14ac:dyDescent="0.45">
      <c r="A10" s="1"/>
      <c r="B10" s="56" t="s">
        <v>274</v>
      </c>
      <c r="C10" s="112" t="s">
        <v>275</v>
      </c>
      <c r="D10" s="9">
        <v>479950.25</v>
      </c>
      <c r="E10" s="9">
        <f>IFERROR(D10/C10,0)</f>
        <v>6399.336666666667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56" t="s">
        <v>276</v>
      </c>
      <c r="C11" s="112" t="s">
        <v>275</v>
      </c>
      <c r="D11" s="9">
        <v>880463.63</v>
      </c>
      <c r="E11" s="9">
        <f t="shared" ref="E11" si="0">IFERROR(D11/C11,0)</f>
        <v>11739.515066666667</v>
      </c>
      <c r="F11" s="9">
        <v>0</v>
      </c>
      <c r="G11" s="9">
        <v>0</v>
      </c>
      <c r="H11" s="14" t="s">
        <v>3</v>
      </c>
      <c r="I11" s="1"/>
    </row>
    <row r="12" spans="1:9" x14ac:dyDescent="0.45">
      <c r="A12" s="1"/>
      <c r="B12" s="89" t="s">
        <v>238</v>
      </c>
      <c r="C12" s="90"/>
      <c r="D12" s="91"/>
      <c r="E12" s="12">
        <f>SUM(E10:E11)</f>
        <v>18138.851733333333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4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45">
      <c r="A10" s="1"/>
      <c r="B10" s="25" t="s">
        <v>239</v>
      </c>
      <c r="C10" s="22">
        <f>'Fane 9. Anlægsprojekter'!F12</f>
        <v>0</v>
      </c>
      <c r="D10" s="14" t="s">
        <v>3</v>
      </c>
      <c r="E10" s="9">
        <f>SUM('Fane 9. Anlægsprojekter'!E12,'Fane 9. Anlægsprojekter'!G12)</f>
        <v>18138.851733333333</v>
      </c>
      <c r="F10" s="14" t="s">
        <v>3</v>
      </c>
      <c r="G10" s="1"/>
    </row>
    <row r="11" spans="1:7" x14ac:dyDescent="0.45">
      <c r="A11" s="1"/>
      <c r="B11" s="113" t="s">
        <v>272</v>
      </c>
      <c r="C11" s="22">
        <v>242886</v>
      </c>
      <c r="D11" s="14" t="s">
        <v>3</v>
      </c>
      <c r="E11" s="9">
        <v>0</v>
      </c>
      <c r="F11" s="14" t="s">
        <v>3</v>
      </c>
      <c r="G11" s="1"/>
    </row>
    <row r="12" spans="1:7" x14ac:dyDescent="0.45">
      <c r="A12" s="1"/>
      <c r="B12" s="38" t="s">
        <v>50</v>
      </c>
      <c r="C12" s="12">
        <f>SUM(C10:C11)</f>
        <v>242886</v>
      </c>
      <c r="D12" s="13" t="s">
        <v>3</v>
      </c>
      <c r="E12" s="12">
        <f>SUM(E10:E11)</f>
        <v>18138.851733333333</v>
      </c>
      <c r="F12" s="13" t="s">
        <v>3</v>
      </c>
      <c r="G12" s="1"/>
    </row>
    <row r="13" spans="1:7" x14ac:dyDescent="0.45">
      <c r="A13" s="1"/>
      <c r="B13" s="38" t="s">
        <v>219</v>
      </c>
      <c r="C13" s="12">
        <f>C12*(1+'Fane 14. Nøgletal'!C13)</f>
        <v>245849.20919999998</v>
      </c>
      <c r="D13" s="13" t="s">
        <v>3</v>
      </c>
      <c r="E13" s="12">
        <f>E12*(1+'Fane 14. Nøgletal'!C13)</f>
        <v>18360.14572448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0DUvrLjKNOj9M1t2JIuHu7eqSUUA6lVqMleKOfNPwmdXdwA7FE7VL46fosIsTberJMVmzwnoXkDcKuuHV934dw==" saltValue="YG/CDa+2Eu97IRanzc3AS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141</v>
      </c>
      <c r="C8" s="90"/>
      <c r="D8" s="90"/>
      <c r="E8" s="90"/>
      <c r="F8" s="91"/>
      <c r="G8" s="1"/>
    </row>
    <row r="9" spans="1:7" x14ac:dyDescent="0.4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4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9" t="s">
        <v>142</v>
      </c>
      <c r="C16" s="90"/>
      <c r="D16" s="90"/>
      <c r="E16" s="90"/>
      <c r="F16" s="91"/>
      <c r="G16" s="1"/>
    </row>
    <row r="17" spans="1:7" x14ac:dyDescent="0.4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4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9" t="s">
        <v>143</v>
      </c>
      <c r="C24" s="90"/>
      <c r="D24" s="90"/>
      <c r="E24" s="90"/>
      <c r="F24" s="91"/>
      <c r="G24" s="1"/>
    </row>
    <row r="25" spans="1:7" x14ac:dyDescent="0.4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4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223</v>
      </c>
      <c r="C32" s="90"/>
      <c r="D32" s="90"/>
      <c r="E32" s="90"/>
      <c r="F32" s="91"/>
      <c r="G32" s="1"/>
    </row>
    <row r="33" spans="1:7" x14ac:dyDescent="0.4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4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M7qvR976geRFJwtZjosQAbstSEtQnrAt+UC024uodhf9+5g16VnVIYD3NSNRvHNWl5zonvTjrwEwXjuaxk4ZYA==" saltValue="LVJOM1bmYSLBifrCCEqqw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86"/>
      <c r="C5" s="86"/>
      <c r="D5" s="86"/>
      <c r="E5" s="86"/>
      <c r="F5" s="8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125</v>
      </c>
      <c r="C8" s="90"/>
      <c r="D8" s="90"/>
      <c r="E8" s="90"/>
      <c r="F8" s="91"/>
      <c r="G8" s="1"/>
    </row>
    <row r="9" spans="1:7" x14ac:dyDescent="0.45">
      <c r="A9" s="1"/>
      <c r="B9" s="109" t="s">
        <v>277</v>
      </c>
      <c r="C9" s="110"/>
      <c r="D9" s="111"/>
      <c r="E9" s="9">
        <v>1609695</v>
      </c>
      <c r="F9" s="14" t="s">
        <v>3</v>
      </c>
      <c r="G9" s="1"/>
    </row>
    <row r="10" spans="1:7" x14ac:dyDescent="0.45">
      <c r="A10" s="1"/>
      <c r="B10" s="80" t="s">
        <v>10</v>
      </c>
      <c r="C10" s="81"/>
      <c r="D10" s="87"/>
      <c r="E10" s="9">
        <f>-E9*'Fane 5. Individuelt eff. krav'!G11</f>
        <v>-962.01261601955457</v>
      </c>
      <c r="F10" s="14" t="s">
        <v>3</v>
      </c>
      <c r="G10" s="1"/>
    </row>
    <row r="11" spans="1:7" x14ac:dyDescent="0.45">
      <c r="A11" s="1"/>
      <c r="B11" s="80" t="s">
        <v>29</v>
      </c>
      <c r="C11" s="81"/>
      <c r="D11" s="87"/>
      <c r="E11" s="9">
        <f>-E9*'Fane 14. Nøgletal'!C27</f>
        <v>-32193.9</v>
      </c>
      <c r="F11" s="14" t="s">
        <v>3</v>
      </c>
      <c r="G11" s="1"/>
    </row>
    <row r="12" spans="1:7" x14ac:dyDescent="0.45">
      <c r="A12" s="1"/>
      <c r="B12" s="89" t="s">
        <v>128</v>
      </c>
      <c r="C12" s="90"/>
      <c r="D12" s="91"/>
      <c r="E12" s="12">
        <f>SUM(E9:E11)*(1+'Fane 14. Nøgletal'!C12)^3</f>
        <v>1671560.1178410146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126</v>
      </c>
      <c r="C14" s="90"/>
      <c r="D14" s="90"/>
      <c r="E14" s="90"/>
      <c r="F14" s="91"/>
      <c r="G14" s="1"/>
    </row>
    <row r="15" spans="1:7" x14ac:dyDescent="0.45">
      <c r="A15" s="1"/>
      <c r="B15" s="109" t="s">
        <v>207</v>
      </c>
      <c r="C15" s="110"/>
      <c r="D15" s="111"/>
      <c r="E15" s="9">
        <v>1581226</v>
      </c>
      <c r="F15" s="14" t="s">
        <v>3</v>
      </c>
      <c r="G15" s="1"/>
    </row>
    <row r="16" spans="1:7" x14ac:dyDescent="0.45">
      <c r="A16" s="1"/>
      <c r="B16" s="80" t="s">
        <v>10</v>
      </c>
      <c r="C16" s="81"/>
      <c r="D16" s="87"/>
      <c r="E16" s="9">
        <f>-E15*'Fane 5. Individuelt eff. krav'!G11</f>
        <v>-944.99850019919074</v>
      </c>
      <c r="F16" s="14" t="s">
        <v>3</v>
      </c>
      <c r="G16" s="1"/>
    </row>
    <row r="17" spans="1:7" x14ac:dyDescent="0.45">
      <c r="A17" s="1"/>
      <c r="B17" s="80" t="s">
        <v>29</v>
      </c>
      <c r="C17" s="81"/>
      <c r="D17" s="87"/>
      <c r="E17" s="9">
        <f>-E15*'Fane 14. Nøgletal'!C27</f>
        <v>-31624.52</v>
      </c>
      <c r="F17" s="14" t="s">
        <v>3</v>
      </c>
      <c r="G17" s="1"/>
    </row>
    <row r="18" spans="1:7" x14ac:dyDescent="0.45">
      <c r="A18" s="1"/>
      <c r="B18" s="89" t="s">
        <v>129</v>
      </c>
      <c r="C18" s="90"/>
      <c r="D18" s="91"/>
      <c r="E18" s="12">
        <f>SUM(E15:E17)*(1+'Fane 14. Nøgletal'!C13)^3</f>
        <v>1606031.6269395873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127</v>
      </c>
      <c r="C20" s="90"/>
      <c r="D20" s="90"/>
      <c r="E20" s="90"/>
      <c r="F20" s="91"/>
      <c r="G20" s="1"/>
    </row>
    <row r="21" spans="1:7" x14ac:dyDescent="0.45">
      <c r="A21" s="1"/>
      <c r="B21" s="109" t="s">
        <v>207</v>
      </c>
      <c r="C21" s="110"/>
      <c r="D21" s="111"/>
      <c r="E21" s="9">
        <v>1624007</v>
      </c>
      <c r="F21" s="14" t="s">
        <v>3</v>
      </c>
      <c r="G21" s="1"/>
    </row>
    <row r="22" spans="1:7" x14ac:dyDescent="0.45">
      <c r="A22" s="1"/>
      <c r="B22" s="80" t="s">
        <v>10</v>
      </c>
      <c r="C22" s="81"/>
      <c r="D22" s="87"/>
      <c r="E22" s="9">
        <f>-E21*'Fane 5. Individuelt eff. krav'!G11</f>
        <v>-970.56599076475288</v>
      </c>
      <c r="F22" s="14" t="s">
        <v>3</v>
      </c>
      <c r="G22" s="1"/>
    </row>
    <row r="23" spans="1:7" x14ac:dyDescent="0.45">
      <c r="A23" s="1"/>
      <c r="B23" s="80" t="s">
        <v>29</v>
      </c>
      <c r="C23" s="81"/>
      <c r="D23" s="87"/>
      <c r="E23" s="9">
        <f>-E21*'Fane 14. Nøgletal'!C27</f>
        <v>-32480.14</v>
      </c>
      <c r="F23" s="14" t="s">
        <v>3</v>
      </c>
      <c r="G23" s="1"/>
    </row>
    <row r="24" spans="1:7" x14ac:dyDescent="0.45">
      <c r="A24" s="1"/>
      <c r="B24" s="89" t="s">
        <v>130</v>
      </c>
      <c r="C24" s="90"/>
      <c r="D24" s="91"/>
      <c r="E24" s="12">
        <f>SUM(E21:E23)*(1+'Fane 14. Nøgletal'!C13)^4</f>
        <v>1669607.459619693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208</v>
      </c>
      <c r="C26" s="90"/>
      <c r="D26" s="90"/>
      <c r="E26" s="90"/>
      <c r="F26" s="91"/>
      <c r="G26" s="1"/>
    </row>
    <row r="27" spans="1:7" x14ac:dyDescent="0.45">
      <c r="A27" s="1"/>
      <c r="B27" s="109" t="s">
        <v>207</v>
      </c>
      <c r="C27" s="110"/>
      <c r="D27" s="111"/>
      <c r="E27" s="9">
        <v>1637667</v>
      </c>
      <c r="F27" s="14" t="s">
        <v>3</v>
      </c>
      <c r="G27" s="1"/>
    </row>
    <row r="28" spans="1:7" x14ac:dyDescent="0.45">
      <c r="A28" s="1"/>
      <c r="B28" s="80" t="s">
        <v>10</v>
      </c>
      <c r="C28" s="81"/>
      <c r="D28" s="87"/>
      <c r="E28" s="9">
        <f>-E27*'Fane 5. Individuelt eff. krav'!G11</f>
        <v>-978.72970645923351</v>
      </c>
      <c r="F28" s="14" t="s">
        <v>3</v>
      </c>
      <c r="G28" s="1"/>
    </row>
    <row r="29" spans="1:7" x14ac:dyDescent="0.45">
      <c r="A29" s="1"/>
      <c r="B29" s="80" t="s">
        <v>29</v>
      </c>
      <c r="C29" s="81"/>
      <c r="D29" s="87"/>
      <c r="E29" s="9">
        <f>-E27*'Fane 14. Nøgletal'!C27</f>
        <v>-32753.34</v>
      </c>
      <c r="F29" s="14" t="s">
        <v>3</v>
      </c>
      <c r="G29" s="1"/>
    </row>
    <row r="30" spans="1:7" x14ac:dyDescent="0.45">
      <c r="A30" s="1"/>
      <c r="B30" s="89" t="s">
        <v>209</v>
      </c>
      <c r="C30" s="90"/>
      <c r="D30" s="91"/>
      <c r="E30" s="12">
        <f>SUM(E27:E29)*(1+'Fane 14. Nøgletal'!C13)^5</f>
        <v>1704191.5609081697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S6jc6UR4gx7E8fRyN2ojxabGcUtqqXD2mE++IEdFMpTB4sY/uWjWuNJ7ERNe6Za3Szd7hdphRmSqfJ0dQVQfaw==" saltValue="JB3ZgA0VDOCAzJruUFNVE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4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131</v>
      </c>
      <c r="C14" s="90"/>
      <c r="D14" s="90"/>
      <c r="E14" s="90"/>
      <c r="F14" s="91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4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133</v>
      </c>
      <c r="C20" s="90"/>
      <c r="D20" s="90"/>
      <c r="E20" s="90"/>
      <c r="F20" s="91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4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227</v>
      </c>
      <c r="C26" s="90"/>
      <c r="D26" s="90"/>
      <c r="E26" s="90"/>
      <c r="F26" s="91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4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257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54" t="s">
        <v>170</v>
      </c>
      <c r="C9" s="26">
        <v>1.2699999999999999E-2</v>
      </c>
      <c r="D9" s="1"/>
    </row>
    <row r="10" spans="1:4" x14ac:dyDescent="0.45">
      <c r="A10" s="1"/>
      <c r="B10" s="54" t="s">
        <v>171</v>
      </c>
      <c r="C10" s="26">
        <v>1.7500000000000002E-2</v>
      </c>
      <c r="D10" s="1"/>
    </row>
    <row r="11" spans="1:4" x14ac:dyDescent="0.45">
      <c r="A11" s="1"/>
      <c r="B11" s="54" t="s">
        <v>24</v>
      </c>
      <c r="C11" s="26">
        <v>1.6899999999999998E-2</v>
      </c>
      <c r="D11" s="1"/>
    </row>
    <row r="12" spans="1:4" x14ac:dyDescent="0.45">
      <c r="A12" s="1"/>
      <c r="B12" s="39" t="s">
        <v>172</v>
      </c>
      <c r="C12" s="40">
        <v>1.9699999999999999E-2</v>
      </c>
      <c r="D12" s="1"/>
    </row>
    <row r="13" spans="1:4" x14ac:dyDescent="0.45">
      <c r="A13" s="1"/>
      <c r="B13" s="39" t="s">
        <v>217</v>
      </c>
      <c r="C13" s="40">
        <v>1.2200000000000001E-2</v>
      </c>
      <c r="D13" s="1"/>
    </row>
    <row r="14" spans="1:4" x14ac:dyDescent="0.45">
      <c r="A14" s="1"/>
      <c r="B14" s="38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8" t="s">
        <v>153</v>
      </c>
      <c r="C17" s="20"/>
      <c r="D17" s="1"/>
    </row>
    <row r="18" spans="1:4" x14ac:dyDescent="0.45">
      <c r="A18" s="1"/>
      <c r="B18" s="54" t="s">
        <v>173</v>
      </c>
      <c r="C18" s="23">
        <v>9.1000000000000004E-3</v>
      </c>
      <c r="D18" s="1"/>
    </row>
    <row r="19" spans="1:4" x14ac:dyDescent="0.45">
      <c r="A19" s="1"/>
      <c r="B19" s="54" t="s">
        <v>174</v>
      </c>
      <c r="C19" s="23">
        <v>1.77E-2</v>
      </c>
      <c r="D19" s="1"/>
    </row>
    <row r="20" spans="1:4" x14ac:dyDescent="0.45">
      <c r="A20" s="1"/>
      <c r="B20" s="54" t="s">
        <v>175</v>
      </c>
      <c r="C20" s="23">
        <v>8.6999999999999994E-3</v>
      </c>
      <c r="D20" s="1"/>
    </row>
    <row r="21" spans="1:4" x14ac:dyDescent="0.45">
      <c r="A21" s="1"/>
      <c r="B21" s="54" t="s">
        <v>176</v>
      </c>
      <c r="C21" s="41">
        <v>2.8400000000000002E-2</v>
      </c>
      <c r="D21" s="1"/>
    </row>
    <row r="22" spans="1:4" x14ac:dyDescent="0.45">
      <c r="A22" s="1"/>
      <c r="B22" s="54" t="s">
        <v>229</v>
      </c>
      <c r="C22" s="41">
        <v>2.75E-2</v>
      </c>
      <c r="D22" s="1"/>
    </row>
    <row r="23" spans="1:4" x14ac:dyDescent="0.45">
      <c r="A23" s="1"/>
      <c r="B23" s="3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8" t="s">
        <v>154</v>
      </c>
      <c r="C26" s="20"/>
      <c r="D26" s="1"/>
    </row>
    <row r="27" spans="1:4" x14ac:dyDescent="0.45">
      <c r="A27" s="1"/>
      <c r="B27" s="54" t="s">
        <v>177</v>
      </c>
      <c r="C27" s="26">
        <v>0.02</v>
      </c>
      <c r="D27" s="1"/>
    </row>
    <row r="28" spans="1:4" x14ac:dyDescent="0.45">
      <c r="A28" s="1"/>
      <c r="B28" s="3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8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185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27</v>
      </c>
      <c r="C9" s="7">
        <f>'Fane 3. Omkostninger i ØR2020'!E20</f>
        <v>59259078.382707238</v>
      </c>
      <c r="D9" s="8" t="s">
        <v>3</v>
      </c>
      <c r="E9" s="1"/>
    </row>
    <row r="10" spans="1:5" x14ac:dyDescent="0.45">
      <c r="A10" s="1"/>
      <c r="B10" s="33" t="s">
        <v>280</v>
      </c>
      <c r="C10" s="7">
        <f>1112470*1.0111*1.005*1.023*1.031*1.015*1.0008*0.9962*1.0127*1.0175*1.0169*1.0197</f>
        <v>1289165.1305625781</v>
      </c>
      <c r="D10" s="8" t="s">
        <v>3</v>
      </c>
      <c r="E10" s="1"/>
    </row>
    <row r="11" spans="1:5" ht="17.100000000000001" customHeight="1" x14ac:dyDescent="0.45">
      <c r="A11" s="1"/>
      <c r="B11" s="48" t="s">
        <v>48</v>
      </c>
      <c r="C11" s="7">
        <f>'Fane 10.1. Varige tillæg'!C13</f>
        <v>245849.20919999998</v>
      </c>
      <c r="D11" s="8" t="s">
        <v>3</v>
      </c>
      <c r="E11" s="1"/>
    </row>
    <row r="12" spans="1:5" ht="17.100000000000001" customHeight="1" x14ac:dyDescent="0.45">
      <c r="A12" s="1"/>
      <c r="B12" s="48" t="s">
        <v>49</v>
      </c>
      <c r="C12" s="9">
        <f>'Fane 10.1. Varige tillæg'!E13</f>
        <v>18360.14572448</v>
      </c>
      <c r="D12" s="8" t="s">
        <v>3</v>
      </c>
      <c r="E12" s="1"/>
    </row>
    <row r="13" spans="1:5" ht="17.100000000000001" customHeight="1" x14ac:dyDescent="0.45">
      <c r="A13" s="1"/>
      <c r="B13" s="48" t="s">
        <v>32</v>
      </c>
      <c r="C13" s="9">
        <f>-'Fane 13.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31</v>
      </c>
      <c r="C14" s="9">
        <f>-'Fane 13.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186</v>
      </c>
      <c r="C15" s="9">
        <f>'Fane 12.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187</v>
      </c>
      <c r="C16" s="9">
        <f>'Fane 12.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48" t="s">
        <v>20</v>
      </c>
      <c r="C17" s="9">
        <f>SUM(C9:C10)*'Fane 14. Nøgletal'!C12+SUM(C11:C16)*'Fane 14. Nøgletal'!C13</f>
        <v>1196023.751341494</v>
      </c>
      <c r="D17" s="8" t="s">
        <v>3</v>
      </c>
      <c r="E17" s="1"/>
    </row>
    <row r="18" spans="1:5" ht="17.100000000000001" customHeight="1" x14ac:dyDescent="0.45">
      <c r="A18" s="1"/>
      <c r="B18" s="48" t="s">
        <v>10</v>
      </c>
      <c r="C18" s="9">
        <f>-SUM(C9:C17)*'Fane 5. Individuelt eff. krav'!G11</f>
        <v>-37058.533950932957</v>
      </c>
      <c r="D18" s="8" t="s">
        <v>3</v>
      </c>
      <c r="E18" s="1"/>
    </row>
    <row r="19" spans="1:5" ht="17.100000000000001" customHeight="1" x14ac:dyDescent="0.45">
      <c r="A19" s="1"/>
      <c r="B19" s="48" t="s">
        <v>29</v>
      </c>
      <c r="C19" s="9">
        <f>-'Fane 4.1. Gen. krav - drift'!G34</f>
        <v>-485831.02010821807</v>
      </c>
      <c r="D19" s="8" t="s">
        <v>3</v>
      </c>
      <c r="E19" s="1"/>
    </row>
    <row r="20" spans="1:5" ht="17.100000000000001" customHeight="1" x14ac:dyDescent="0.45">
      <c r="A20" s="1"/>
      <c r="B20" s="48" t="s">
        <v>30</v>
      </c>
      <c r="C20" s="9">
        <f>-'Fane 4.2. Gen. krav - anlæg'!G31</f>
        <v>-1045587.9084621356</v>
      </c>
      <c r="D20" s="8" t="s">
        <v>3</v>
      </c>
      <c r="E20" s="1"/>
    </row>
    <row r="21" spans="1:5" ht="17.100000000000001" customHeight="1" x14ac:dyDescent="0.45">
      <c r="A21" s="1"/>
      <c r="B21" s="52" t="s">
        <v>22</v>
      </c>
      <c r="C21" s="10">
        <f>SUM(C9:C20)</f>
        <v>60439999.157014512</v>
      </c>
      <c r="D21" s="11" t="s">
        <v>3</v>
      </c>
      <c r="E21" s="1"/>
    </row>
    <row r="22" spans="1:5" ht="15" customHeight="1" x14ac:dyDescent="0.45">
      <c r="A22" s="1"/>
      <c r="B22" s="38" t="s">
        <v>13</v>
      </c>
      <c r="C22" s="32"/>
      <c r="D22" s="20"/>
      <c r="E22" s="1"/>
    </row>
    <row r="23" spans="1:5" ht="15" customHeight="1" x14ac:dyDescent="0.45">
      <c r="A23" s="1"/>
      <c r="B23" s="36" t="s">
        <v>13</v>
      </c>
      <c r="C23" s="10">
        <f>'Fane 6. Ikke-påvirkelige omk.'!C16+'Fane 6. Ikke-påvirkelige omk.'!C20+'Fane 6. Ikke-påvirkelige omk.'!C28</f>
        <v>3749442.0085105202</v>
      </c>
      <c r="D23" s="11" t="s">
        <v>3</v>
      </c>
      <c r="E23" s="1"/>
    </row>
    <row r="24" spans="1:5" ht="15" customHeight="1" x14ac:dyDescent="0.45">
      <c r="A24" s="1"/>
      <c r="B24" s="38" t="s">
        <v>114</v>
      </c>
      <c r="C24" s="32"/>
      <c r="D24" s="20"/>
      <c r="E24" s="1"/>
    </row>
    <row r="25" spans="1:5" ht="15" customHeight="1" x14ac:dyDescent="0.45">
      <c r="A25" s="1"/>
      <c r="B25" s="52" t="s">
        <v>114</v>
      </c>
      <c r="C25" s="10">
        <f>'Fane 11. Periodevise driftsomk.'!E12</f>
        <v>1671560.1178410146</v>
      </c>
      <c r="D25" s="11" t="s">
        <v>3</v>
      </c>
      <c r="E25" s="1"/>
    </row>
    <row r="26" spans="1:5" ht="15" customHeight="1" x14ac:dyDescent="0.45">
      <c r="A26" s="1"/>
      <c r="B26" s="38" t="s">
        <v>113</v>
      </c>
      <c r="C26" s="32"/>
      <c r="D26" s="20"/>
      <c r="E26" s="1"/>
    </row>
    <row r="27" spans="1:5" ht="15" customHeight="1" x14ac:dyDescent="0.45">
      <c r="A27" s="1"/>
      <c r="B27" s="48" t="s">
        <v>109</v>
      </c>
      <c r="C27" s="9">
        <f>'Fane 10.2. Engangstillæg'!C14</f>
        <v>0</v>
      </c>
      <c r="D27" s="8" t="s">
        <v>3</v>
      </c>
      <c r="E27" s="1"/>
    </row>
    <row r="28" spans="1:5" ht="15" customHeight="1" x14ac:dyDescent="0.45">
      <c r="A28" s="1"/>
      <c r="B28" s="48" t="s">
        <v>110</v>
      </c>
      <c r="C28" s="9">
        <f>'Fane 10.2. Engangstillæg'!E14</f>
        <v>0</v>
      </c>
      <c r="D28" s="8" t="s">
        <v>3</v>
      </c>
      <c r="E28" s="1"/>
    </row>
    <row r="29" spans="1:5" x14ac:dyDescent="0.45">
      <c r="A29" s="1"/>
      <c r="B29" s="52" t="s">
        <v>115</v>
      </c>
      <c r="C29" s="10">
        <f>SUM(C27:C28)</f>
        <v>0</v>
      </c>
      <c r="D29" s="11" t="s">
        <v>3</v>
      </c>
      <c r="E29" s="1"/>
    </row>
    <row r="30" spans="1:5" x14ac:dyDescent="0.45">
      <c r="A30" s="1"/>
      <c r="B30" s="38" t="s">
        <v>252</v>
      </c>
      <c r="C30" s="32"/>
      <c r="D30" s="20"/>
      <c r="E30" s="1"/>
    </row>
    <row r="31" spans="1:5" x14ac:dyDescent="0.45">
      <c r="A31" s="1"/>
      <c r="B31" s="36" t="s">
        <v>244</v>
      </c>
      <c r="C31" s="10">
        <f>'Fane 7. Kontrol af ØR2019'!E32</f>
        <v>0</v>
      </c>
      <c r="D31" s="11" t="s">
        <v>3</v>
      </c>
      <c r="E31" s="1"/>
    </row>
    <row r="32" spans="1:5" ht="15" customHeight="1" x14ac:dyDescent="0.45">
      <c r="A32" s="1"/>
      <c r="B32" s="38" t="s">
        <v>184</v>
      </c>
      <c r="C32" s="32"/>
      <c r="D32" s="20"/>
      <c r="E32" s="1"/>
    </row>
    <row r="33" spans="1:5" x14ac:dyDescent="0.45">
      <c r="A33" s="1"/>
      <c r="B33" s="36" t="s">
        <v>184</v>
      </c>
      <c r="C33" s="10">
        <f>'Fane 8. Korrektion af ØR2019'!E17</f>
        <v>233285</v>
      </c>
      <c r="D33" s="11" t="s">
        <v>3</v>
      </c>
      <c r="E33" s="1"/>
    </row>
    <row r="34" spans="1:5" x14ac:dyDescent="0.45">
      <c r="A34" s="1"/>
      <c r="B34" s="38" t="s">
        <v>35</v>
      </c>
      <c r="C34" s="34">
        <f>SUM(C33,C31,C29,C25,C23,C21)</f>
        <v>66094286.283366047</v>
      </c>
      <c r="D34" s="35" t="s">
        <v>3</v>
      </c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188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28</v>
      </c>
      <c r="C9" s="7">
        <f>'Fane 2.1. Økonomisk ramme 2021'!C21</f>
        <v>60439999.157014512</v>
      </c>
      <c r="D9" s="8" t="s">
        <v>3</v>
      </c>
      <c r="E9" s="1"/>
    </row>
    <row r="10" spans="1:5" ht="15" customHeight="1" x14ac:dyDescent="0.4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737367.9897155771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-36561.832527289065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drift'!G40</f>
        <v>-481922.99538246752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anlæg'!G37</f>
        <v>-995716.93900398037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59663165.379816353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3795185.2010143483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52" t="s">
        <v>114</v>
      </c>
      <c r="C20" s="10">
        <f>'Fane 11. Periodevise driftsomk.'!E18</f>
        <v>1606031.6269395873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ht="15" customHeight="1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36</v>
      </c>
      <c r="C27" s="12">
        <f>SUM(C16,C18,C20,C24,C26)</f>
        <v>65064382.207770288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189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190</v>
      </c>
      <c r="C9" s="7">
        <f>'Fane 2.2. Økonomisk ramme 2022'!C16</f>
        <v>59663165.379816353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727890.61763375951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-36091.904220545133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drift'!G46</f>
        <v>-478046.40680761094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anlæg'!G43</f>
        <v>-980148.4068041835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58896769.279617779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3841486.4604667239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52" t="s">
        <v>114</v>
      </c>
      <c r="C20" s="10">
        <f>'Fane 11. Periodevise driftsomk.'!E24</f>
        <v>1669607.459619693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124</v>
      </c>
      <c r="C27" s="12">
        <f>SUM(C16,C18,C20,C24,C26)</f>
        <v>64407863.199704193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191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192</v>
      </c>
      <c r="C9" s="7">
        <f>'Fane 2.3. Økonomisk ramme 2023'!C16</f>
        <v>58896769.279617779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718540.58521133696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-35628.289954233951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drift'!G54</f>
        <v>-474201.00151125045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anlæg'!G49</f>
        <v>-964823.29638959677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58140657.27697403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3888352.5952844177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52" t="s">
        <v>114</v>
      </c>
      <c r="C20" s="10">
        <f>'Fane 11. Periodevise driftsomk.'!E30</f>
        <v>1704191.5609081697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193</v>
      </c>
      <c r="C25" s="12">
        <f>SUM(C16,C18,C20,C24)</f>
        <v>63733201.433166616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45">
      <c r="A9" s="1"/>
      <c r="B9" s="77" t="s">
        <v>25</v>
      </c>
      <c r="C9" s="78"/>
      <c r="D9" s="79"/>
      <c r="E9" s="7">
        <v>59341750.07875292</v>
      </c>
      <c r="F9" s="8" t="s">
        <v>3</v>
      </c>
      <c r="G9" s="1"/>
    </row>
    <row r="10" spans="1:7" ht="15" customHeight="1" x14ac:dyDescent="0.45">
      <c r="A10" s="1"/>
      <c r="B10" s="80" t="s">
        <v>48</v>
      </c>
      <c r="C10" s="81"/>
      <c r="D10" s="87"/>
      <c r="E10" s="7">
        <v>150722.87669999999</v>
      </c>
      <c r="F10" s="8" t="s">
        <v>3</v>
      </c>
      <c r="G10" s="1"/>
    </row>
    <row r="11" spans="1:7" ht="15" customHeight="1" x14ac:dyDescent="0.45">
      <c r="A11" s="1"/>
      <c r="B11" s="80" t="s">
        <v>49</v>
      </c>
      <c r="C11" s="81"/>
      <c r="D11" s="87"/>
      <c r="E11" s="9">
        <v>163764.79877604</v>
      </c>
      <c r="F11" s="8" t="s">
        <v>3</v>
      </c>
      <c r="G11" s="1"/>
    </row>
    <row r="12" spans="1:7" ht="15" customHeight="1" x14ac:dyDescent="0.4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4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4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4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45">
      <c r="A16" s="1"/>
      <c r="B16" s="77" t="s">
        <v>20</v>
      </c>
      <c r="C16" s="78"/>
      <c r="D16" s="79"/>
      <c r="E16" s="9">
        <f>SUM(E9:E15)*'Fane 14. Nøgletal'!C12</f>
        <v>1175227.8837583105</v>
      </c>
      <c r="F16" s="8" t="s">
        <v>3</v>
      </c>
      <c r="G16" s="1"/>
    </row>
    <row r="17" spans="1:7" ht="15" customHeight="1" x14ac:dyDescent="0.45">
      <c r="A17" s="1"/>
      <c r="B17" s="77" t="s">
        <v>10</v>
      </c>
      <c r="C17" s="78"/>
      <c r="D17" s="79"/>
      <c r="E17" s="9">
        <f>-SUM(E9:E16)*'Fane 5. Individuelt eff. krav'!G11</f>
        <v>-36355.109132291385</v>
      </c>
      <c r="F17" s="8" t="s">
        <v>3</v>
      </c>
      <c r="G17" s="1"/>
    </row>
    <row r="18" spans="1:7" ht="15" customHeight="1" x14ac:dyDescent="0.45">
      <c r="A18" s="1"/>
      <c r="B18" s="77" t="s">
        <v>29</v>
      </c>
      <c r="C18" s="78"/>
      <c r="D18" s="79"/>
      <c r="E18" s="9">
        <f>-'Fane 4.1. Gen. krav - drift'!G28</f>
        <v>-481187.99318444327</v>
      </c>
      <c r="F18" s="8" t="s">
        <v>3</v>
      </c>
      <c r="G18" s="1"/>
    </row>
    <row r="19" spans="1:7" ht="15" customHeight="1" x14ac:dyDescent="0.45">
      <c r="A19" s="1"/>
      <c r="B19" s="77" t="s">
        <v>30</v>
      </c>
      <c r="C19" s="78"/>
      <c r="D19" s="79"/>
      <c r="E19" s="9">
        <f>-'Fane 4.2. Gen. krav - anlæg'!G25</f>
        <v>-1054844.1529633026</v>
      </c>
      <c r="F19" s="8" t="s">
        <v>3</v>
      </c>
      <c r="G19" s="1"/>
    </row>
    <row r="20" spans="1:7" ht="15" customHeight="1" x14ac:dyDescent="0.45">
      <c r="A20" s="1"/>
      <c r="B20" s="52" t="s">
        <v>22</v>
      </c>
      <c r="C20" s="53"/>
      <c r="D20" s="55"/>
      <c r="E20" s="10">
        <f>SUM(E9:E19)</f>
        <v>59259078.382707238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84" t="s">
        <v>13</v>
      </c>
      <c r="C22" s="85"/>
      <c r="D22" s="88"/>
      <c r="E22" s="10">
        <v>2940025.7793891602</v>
      </c>
      <c r="F22" s="11" t="s">
        <v>3</v>
      </c>
      <c r="G22" s="1"/>
    </row>
    <row r="23" spans="1:7" ht="15" customHeight="1" x14ac:dyDescent="0.4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45">
      <c r="A24" s="1"/>
      <c r="B24" s="52" t="s">
        <v>114</v>
      </c>
      <c r="C24" s="44"/>
      <c r="D24" s="45"/>
      <c r="E24" s="10">
        <v>1551035.7232426999</v>
      </c>
      <c r="F24" s="11" t="s">
        <v>3</v>
      </c>
      <c r="G24" s="1"/>
    </row>
    <row r="25" spans="1:7" x14ac:dyDescent="0.4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4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4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4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45">
      <c r="A30" s="1"/>
      <c r="B30" s="84" t="s">
        <v>260</v>
      </c>
      <c r="C30" s="85"/>
      <c r="D30" s="85"/>
      <c r="E30" s="46">
        <v>-467885</v>
      </c>
      <c r="F30" s="11" t="s">
        <v>3</v>
      </c>
      <c r="G30" s="1"/>
    </row>
    <row r="31" spans="1:7" ht="15" customHeight="1" x14ac:dyDescent="0.4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4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4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45">
      <c r="A34" s="1"/>
      <c r="B34" s="84" t="s">
        <v>264</v>
      </c>
      <c r="C34" s="85"/>
      <c r="D34" s="88"/>
      <c r="E34" s="10">
        <v>1045333.6694140249</v>
      </c>
      <c r="F34" s="11" t="s">
        <v>3</v>
      </c>
      <c r="G34" s="1"/>
    </row>
    <row r="35" spans="1:7" x14ac:dyDescent="0.45">
      <c r="A35" s="1"/>
      <c r="B35" s="38" t="s">
        <v>26</v>
      </c>
      <c r="C35" s="32"/>
      <c r="D35" s="20"/>
      <c r="E35" s="12">
        <f>E20+E22+E24+E28+E30+E32+E34</f>
        <v>64327588.554753125</v>
      </c>
      <c r="F35" s="13" t="s">
        <v>3</v>
      </c>
      <c r="G35" s="1"/>
    </row>
    <row r="36" spans="1:7" ht="27" customHeight="1" x14ac:dyDescent="0.45">
      <c r="A36" s="1"/>
      <c r="B36" s="77" t="s">
        <v>218</v>
      </c>
      <c r="C36" s="78"/>
      <c r="D36" s="78"/>
      <c r="E36" s="78"/>
      <c r="F36" s="7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4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4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4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4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45">
      <c r="A6" s="1"/>
      <c r="B6" s="92" t="s">
        <v>56</v>
      </c>
      <c r="C6" s="93"/>
      <c r="D6" s="93"/>
      <c r="E6" s="93"/>
      <c r="F6" s="94"/>
      <c r="G6" s="24">
        <v>24090389.363550268</v>
      </c>
      <c r="H6" s="14" t="s">
        <v>3</v>
      </c>
      <c r="I6" s="1"/>
    </row>
    <row r="7" spans="1:9" x14ac:dyDescent="0.45">
      <c r="A7" s="1"/>
      <c r="B7" s="77" t="s">
        <v>181</v>
      </c>
      <c r="C7" s="78"/>
      <c r="D7" s="78"/>
      <c r="E7" s="78"/>
      <c r="F7" s="79"/>
      <c r="G7" s="24">
        <v>1180823</v>
      </c>
      <c r="H7" s="14" t="s">
        <v>3</v>
      </c>
      <c r="I7" s="1"/>
    </row>
    <row r="8" spans="1:9" x14ac:dyDescent="0.45">
      <c r="A8" s="1"/>
      <c r="B8" s="92" t="s">
        <v>57</v>
      </c>
      <c r="C8" s="93"/>
      <c r="D8" s="93"/>
      <c r="E8" s="93"/>
      <c r="F8" s="94"/>
      <c r="G8" s="24">
        <f>SUM(G6:G7)*'Fane 14. Nøgletal'!C27</f>
        <v>505424.24727100536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4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23997702.00581415</v>
      </c>
      <c r="H12" s="14" t="s">
        <v>3</v>
      </c>
      <c r="I12" s="1"/>
    </row>
    <row r="13" spans="1:9" ht="15" customHeight="1" x14ac:dyDescent="0.45">
      <c r="A13" s="1"/>
      <c r="B13" s="92" t="s">
        <v>182</v>
      </c>
      <c r="C13" s="93"/>
      <c r="D13" s="93"/>
      <c r="E13" s="93"/>
      <c r="F13" s="94"/>
      <c r="G13" s="24">
        <v>539.27251202559103</v>
      </c>
      <c r="H13" s="14" t="s">
        <v>3</v>
      </c>
      <c r="I13" s="1"/>
    </row>
    <row r="14" spans="1:9" x14ac:dyDescent="0.45">
      <c r="A14" s="1"/>
      <c r="B14" s="77" t="s">
        <v>179</v>
      </c>
      <c r="C14" s="78"/>
      <c r="D14" s="78"/>
      <c r="E14" s="78"/>
      <c r="F14" s="79"/>
      <c r="G14" s="24">
        <v>1525017.8075000001</v>
      </c>
      <c r="H14" s="14" t="s">
        <v>3</v>
      </c>
      <c r="I14" s="1"/>
    </row>
    <row r="15" spans="1:9" x14ac:dyDescent="0.45">
      <c r="A15" s="1"/>
      <c r="B15" s="95" t="s">
        <v>59</v>
      </c>
      <c r="C15" s="96"/>
      <c r="D15" s="96"/>
      <c r="E15" s="96"/>
      <c r="F15" s="97"/>
      <c r="G15" s="24">
        <v>23564.605556250001</v>
      </c>
      <c r="H15" s="14" t="s">
        <v>3</v>
      </c>
      <c r="I15" s="1"/>
    </row>
    <row r="16" spans="1:9" x14ac:dyDescent="0.4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510936.47382764856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4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23922309.624730736</v>
      </c>
      <c r="H20" s="14" t="s">
        <v>3</v>
      </c>
      <c r="I20" s="1"/>
    </row>
    <row r="21" spans="1:9" x14ac:dyDescent="0.4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4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478446.19249461475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4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23905707.541851174</v>
      </c>
      <c r="H26" s="14" t="s">
        <v>3</v>
      </c>
      <c r="I26" s="1"/>
    </row>
    <row r="27" spans="1:9" x14ac:dyDescent="0.45">
      <c r="A27" s="1"/>
      <c r="B27" s="95" t="s">
        <v>65</v>
      </c>
      <c r="C27" s="96"/>
      <c r="D27" s="96"/>
      <c r="E27" s="96"/>
      <c r="F27" s="97"/>
      <c r="G27" s="24">
        <v>153692.11737098999</v>
      </c>
      <c r="H27" s="14" t="s">
        <v>3</v>
      </c>
      <c r="I27" s="1"/>
    </row>
    <row r="28" spans="1:9" x14ac:dyDescent="0.4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481187.99318444327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4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24042702.435858663</v>
      </c>
      <c r="H32" s="14" t="s">
        <v>3</v>
      </c>
      <c r="I32" s="1"/>
    </row>
    <row r="33" spans="1:9" x14ac:dyDescent="0.45">
      <c r="A33" s="1"/>
      <c r="B33" s="92" t="s">
        <v>230</v>
      </c>
      <c r="C33" s="93"/>
      <c r="D33" s="93"/>
      <c r="E33" s="93"/>
      <c r="F33" s="94"/>
      <c r="G33" s="24">
        <f>SUM('Fane 2.1. Økonomisk ramme 2021'!C11,'Fane 2.1. Økonomisk ramme 2021'!C13,'Fane 2.1. Økonomisk ramme 2021'!C15)*(1+'Fane 14. Nøgletal'!C13)</f>
        <v>248848.56955223999</v>
      </c>
      <c r="H33" s="14" t="s">
        <v>3</v>
      </c>
      <c r="I33" s="1"/>
    </row>
    <row r="34" spans="1:9" x14ac:dyDescent="0.4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485831.02010821807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4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24096149.769123375</v>
      </c>
      <c r="H38" s="14" t="s">
        <v>3</v>
      </c>
      <c r="I38" s="1"/>
    </row>
    <row r="39" spans="1:9" x14ac:dyDescent="0.4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4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481922.99538246752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4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23902320.340380546</v>
      </c>
      <c r="H44" s="14" t="s">
        <v>3</v>
      </c>
      <c r="I44" s="1"/>
    </row>
    <row r="45" spans="1:9" x14ac:dyDescent="0.4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4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478046.40680761094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4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23710050.075562522</v>
      </c>
      <c r="H52" s="14" t="s">
        <v>3</v>
      </c>
      <c r="I52" s="1"/>
    </row>
    <row r="53" spans="1:9" x14ac:dyDescent="0.4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4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474201.00151125045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4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4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4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45">
      <c r="A5" s="1"/>
      <c r="B5" s="92" t="s">
        <v>78</v>
      </c>
      <c r="C5" s="93"/>
      <c r="D5" s="93"/>
      <c r="E5" s="93"/>
      <c r="F5" s="94"/>
      <c r="G5" s="24">
        <v>36268191.61457736</v>
      </c>
      <c r="H5" s="14" t="s">
        <v>3</v>
      </c>
      <c r="I5" s="1"/>
    </row>
    <row r="6" spans="1:9" x14ac:dyDescent="0.45">
      <c r="A6" s="1"/>
      <c r="B6" s="92" t="s">
        <v>72</v>
      </c>
      <c r="C6" s="93"/>
      <c r="D6" s="93"/>
      <c r="E6" s="93"/>
      <c r="F6" s="94"/>
      <c r="G6" s="24">
        <f>G5*'Fane 14. Nøgletal'!C18</f>
        <v>330040.543692654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4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36567068.714625187</v>
      </c>
      <c r="H10" s="14" t="s">
        <v>3</v>
      </c>
      <c r="I10" s="1"/>
    </row>
    <row r="11" spans="1:9" x14ac:dyDescent="0.45">
      <c r="A11" s="1"/>
      <c r="B11" s="92" t="s">
        <v>183</v>
      </c>
      <c r="C11" s="93"/>
      <c r="D11" s="93"/>
      <c r="E11" s="93"/>
      <c r="F11" s="94"/>
      <c r="G11" s="24">
        <v>308921.30720866914</v>
      </c>
      <c r="H11" s="14" t="s">
        <v>3</v>
      </c>
      <c r="I11" s="1"/>
    </row>
    <row r="12" spans="1:9" x14ac:dyDescent="0.4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4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652705.02338645933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4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36857192.485920236</v>
      </c>
      <c r="H17" s="14" t="s">
        <v>3</v>
      </c>
      <c r="I17" s="1"/>
    </row>
    <row r="18" spans="1:9" x14ac:dyDescent="0.45">
      <c r="A18" s="1"/>
      <c r="B18" s="95" t="s">
        <v>85</v>
      </c>
      <c r="C18" s="96"/>
      <c r="D18" s="96"/>
      <c r="E18" s="96"/>
      <c r="F18" s="97"/>
      <c r="G18" s="24">
        <v>56739.243335089988</v>
      </c>
      <c r="H18" s="14" t="s">
        <v>3</v>
      </c>
      <c r="I18" s="1"/>
    </row>
    <row r="19" spans="1:9" x14ac:dyDescent="0.4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652865.9384178035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4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36975408.786917031</v>
      </c>
      <c r="H23" s="14" t="s">
        <v>3</v>
      </c>
      <c r="I23" s="1"/>
    </row>
    <row r="24" spans="1:9" x14ac:dyDescent="0.45">
      <c r="A24" s="1"/>
      <c r="B24" s="95" t="s">
        <v>89</v>
      </c>
      <c r="C24" s="96"/>
      <c r="D24" s="96"/>
      <c r="E24" s="96"/>
      <c r="F24" s="97"/>
      <c r="G24" s="24">
        <v>166990.96531192798</v>
      </c>
      <c r="H24" s="14" t="s">
        <v>3</v>
      </c>
      <c r="I24" s="1"/>
    </row>
    <row r="25" spans="1:9" x14ac:dyDescent="0.4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1054844.1529633026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4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36798480.44457119</v>
      </c>
      <c r="H29" s="14" t="s">
        <v>3</v>
      </c>
      <c r="I29" s="1"/>
    </row>
    <row r="30" spans="1:9" x14ac:dyDescent="0.45">
      <c r="A30" s="1"/>
      <c r="B30" s="92" t="s">
        <v>235</v>
      </c>
      <c r="C30" s="93"/>
      <c r="D30" s="93"/>
      <c r="E30" s="93"/>
      <c r="F30" s="94"/>
      <c r="G30" s="24">
        <f>SUM('Fane 2.1. Økonomisk ramme 2021'!C12,'Fane 2.1. Økonomisk ramme 2021'!C14,'Fane 2.1. Økonomisk ramme 2021'!C16)*(1+'Fane 14. Nøgletal'!C13)</f>
        <v>18584.139502318656</v>
      </c>
      <c r="H30" s="14" t="s">
        <v>3</v>
      </c>
      <c r="I30" s="1"/>
    </row>
    <row r="31" spans="1:9" x14ac:dyDescent="0.4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1045587.9084621356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4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36207888.69105383</v>
      </c>
      <c r="H35" s="14" t="s">
        <v>3</v>
      </c>
      <c r="I35" s="1"/>
    </row>
    <row r="36" spans="1:9" x14ac:dyDescent="0.4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45">
      <c r="A37" s="1"/>
      <c r="B37" s="92" t="s">
        <v>94</v>
      </c>
      <c r="C37" s="93"/>
      <c r="D37" s="93"/>
      <c r="E37" s="93"/>
      <c r="F37" s="94"/>
      <c r="G37" s="24">
        <f>(G35+G36)*'Fane 14. Nøgletal'!C22</f>
        <v>995716.93900398037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4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35641760.247424856</v>
      </c>
      <c r="H41" s="14" t="s">
        <v>3</v>
      </c>
      <c r="I41" s="1"/>
    </row>
    <row r="42" spans="1:9" x14ac:dyDescent="0.4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45">
      <c r="A43" s="1"/>
      <c r="B43" s="92" t="s">
        <v>95</v>
      </c>
      <c r="C43" s="93"/>
      <c r="D43" s="93"/>
      <c r="E43" s="93"/>
      <c r="F43" s="94"/>
      <c r="G43" s="24">
        <f>(G41+G42)*'Fane 14. Nøgletal'!C22</f>
        <v>980148.4068041835</v>
      </c>
      <c r="H43" s="14" t="s">
        <v>3</v>
      </c>
      <c r="I43" s="1"/>
    </row>
    <row r="44" spans="1:9" x14ac:dyDescent="0.4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4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35084483.505076244</v>
      </c>
      <c r="H47" s="14" t="s">
        <v>3</v>
      </c>
      <c r="I47" s="1"/>
    </row>
    <row r="48" spans="1:9" x14ac:dyDescent="0.4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4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964823.29638959677</v>
      </c>
      <c r="H49" s="14" t="s">
        <v>3</v>
      </c>
      <c r="I49" s="1"/>
    </row>
    <row r="50" spans="1:9" x14ac:dyDescent="0.4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45">
      <c r="A9" s="1"/>
      <c r="B9" s="92" t="s">
        <v>104</v>
      </c>
      <c r="C9" s="93"/>
      <c r="D9" s="93"/>
      <c r="E9" s="93"/>
      <c r="F9" s="94"/>
      <c r="G9" s="23">
        <v>1.8394143574048609E-3</v>
      </c>
      <c r="H9" s="14"/>
      <c r="I9" s="1"/>
    </row>
    <row r="10" spans="1:9" x14ac:dyDescent="0.45">
      <c r="A10" s="1"/>
      <c r="B10" s="92" t="s">
        <v>105</v>
      </c>
      <c r="C10" s="93"/>
      <c r="D10" s="93"/>
      <c r="E10" s="93"/>
      <c r="F10" s="94"/>
      <c r="G10" s="23">
        <v>2.2719709581394175E-3</v>
      </c>
      <c r="H10" s="14"/>
      <c r="I10" s="1"/>
    </row>
    <row r="11" spans="1:9" x14ac:dyDescent="0.45">
      <c r="A11" s="1"/>
      <c r="B11" s="92" t="s">
        <v>106</v>
      </c>
      <c r="C11" s="93"/>
      <c r="D11" s="93"/>
      <c r="E11" s="93"/>
      <c r="F11" s="94"/>
      <c r="G11" s="41">
        <v>5.9763658085510275E-4</v>
      </c>
      <c r="H11" s="14"/>
      <c r="I11" s="1"/>
    </row>
    <row r="12" spans="1:9" x14ac:dyDescent="0.4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4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4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2020-09-24T08:59:32Z</dcterms:modified>
</cp:coreProperties>
</file>