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ørkøv Vandværk (V13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C12" i="7" l="1"/>
  <c r="E25" i="8" l="1"/>
  <c r="E33" i="8" l="1"/>
  <c r="E35" i="8" s="1"/>
  <c r="E29" i="8"/>
  <c r="E25" i="2" s="1"/>
  <c r="E10" i="2"/>
  <c r="E14" i="6"/>
  <c r="E20" i="3" l="1"/>
  <c r="E20" i="5"/>
  <c r="E20" i="4"/>
  <c r="C11" i="12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<sst xmlns="http://schemas.openxmlformats.org/spreadsheetml/2006/main" count="401" uniqueCount="151">
  <si>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</si>
  <si>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</si>
  <si>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</si>
  <si>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</si>
  <si>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</si>
  <si>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</si>
  <si>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</si>
  <si>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</si>
  <si>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</si>
  <si>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</si>
  <si>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</si>
  <si>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</si>
  <si>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</si>
  <si>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</si>
  <si>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</si>
  <si>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</si>
  <si>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</si>
  <si>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</si>
  <si>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</si>
  <si>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</si>
  <si>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</si>
  <si>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</si>
  <si>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</si>
  <si>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</si>
  <si>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</si>
  <si>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</si>
  <si>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</si>
  <si>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</si>
  <si>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</si>
  <si>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</si>
  <si>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</si>
  <si>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</si>
  <si>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</si>
  <si>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</si>
  <si>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</si>
  <si>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</si>
  <si>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</si>
  <si>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</si>
  <si>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</si>
  <si>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</si>
  <si>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</si>
  <si>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</si>
  <si>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</si>
  <si>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</si>
  <si>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</si>
  <si>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</si>
  <si>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</si>
  <si>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</si>
  <si>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</si>
  <si>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</si>
  <si>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</si>
  <si>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</si>
  <si>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</si>
  <si>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</si>
  <si>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</si>
  <si>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</si>
  <si>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</si>
  <si>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</si>
  <si>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</si>
  <si>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</si>
  <si>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</si>
  <si>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</si>
  <si>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</si>
  <si>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</si>
  <si>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</si>
  <si>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</si>
  <si>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</si>
  <si>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</si>
  <si>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</si>
  <si>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</si>
  <si>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</si>
  <si>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</si>
  <si>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</si>
  <si>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</si>
  <si>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</si>
  <si>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</si>
  <si>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</si>
  <si>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</si>
  <si>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</si>
  <si>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</si>
  <si>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</si>
  <si>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</si>
  <si>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</si>
  <si>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</si>
  <si>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</si>
  <si>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</si>
  <si>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</si>
  <si>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</si>
  <si>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</si>
  <si>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</si>
  <si>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</si>
  <si>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</si>
  <si>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</si>
  <si>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</si>
  <si>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</si>
  <si>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</si>
  <si>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</si>
  <si>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</si>
  <si>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</si>
  <si>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</si>
  <si>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</si>
  <si>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</si>
  <si>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</si>
  <si>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</si>
  <si>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</si>
  <si>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</si>
  <si>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</si>
  <si>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</si>
  <si>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</si>
  <si>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</si>
  <si>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</si>
  <si>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</si>
  <si>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</si>
  <si>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</si>
  <si>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</si>
  <si>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</si>
  <si>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</si>
  <si>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</si>
  <si>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</si>
  <si>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</si>
  <si>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</si>
  <si>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</si>
  <si>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</si>
  <si>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</si>
  <si>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</si>
  <si>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</si>
  <si>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</si>
  <si>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</si>
  <si>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</si>
  <si>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bortfald eller nedsættelse</t>
  </si>
  <si>
    <t>Fane 7: Kontrol med overholdelse af den økonomiske ramme for 2020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</si>
  <si>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</si>
  <si>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</si>
  <si>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</si>
  <si>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</si>
  <si>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</si>
  <si>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</si>
  <si>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</si>
  <si>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</si>
  <si>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</si>
  <si>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</si>
  <si>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</si>
  <si>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</si>
  <si>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</si>
  <si>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</si>
  <si>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</si>
  <si>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Ingen anlægsprojekter</t>
  </si>
  <si>
    <t>Ingen engangstillæg</t>
  </si>
  <si>
    <t>Skøn for afgift til ledningsført vand</t>
  </si>
  <si>
    <t>Skøn for afgift til Forsyningssekretariatet</t>
  </si>
  <si>
    <t>Skønnede indtægter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</si>
</sst>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2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2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2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dGYSB7QvWDGGmK0tA9gkZf96aAHrCXgJtALrryI2IC8T3C6xWhlrvMByQMJM+rJqFOzqc+QSlackEdaqEZx9A==" saltValue="AjcrgDB4aGmrkLcl96tYD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LsymDGGyuhMT8yBV4dWxwhbE9gJC/syyxQKqAUIvhcdRX21nflHjI7PHLyoydy+R6HEWcbTagchYs+wIdg4DGA==" saltValue="XIehd9+pucg66r99Sp+mo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147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25">
      <c r="A17" s="1"/>
      <c r="B17" s="20" t="s">
        <v>147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25">
      <c r="A24" s="1"/>
      <c r="B24" s="20" t="s">
        <v>147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25">
      <c r="A31" s="1"/>
      <c r="B31" s="20" t="s">
        <v>147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+5Vb4yBI2Zi7E8T4vT72mRz/MAhYIWozSCAzmeqXo1F1qxckEbqt9sjPhqLvoRrtZYKkpiUVr7sP2E8EuOenw==" saltValue="CwN84hlnM3v9QKNmvmVEn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uYwLPMnnoK0Sr0yx3UKoEJV32WTl5H+Kkwy52Oa9AHF02Ys5dX8OXWIeD3YPyO2JFaK+bmoh3j4Zdz9K473I0A==" saltValue="39hue5Z6GDrE2ZK3UT5d1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25">
      <c r="A16" s="1"/>
      <c r="B16" s="20" t="s">
        <v>129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25">
      <c r="A22" s="1"/>
      <c r="B22" s="20" t="s">
        <v>129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25">
      <c r="A28" s="1"/>
      <c r="B28" s="20" t="s">
        <v>129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IJZUH3rFwNZdwOBhrqzL4Rvbrb/LTYttOYP231Qky0AZdn/bcTDwYbX+jM6HYh1uxgjJ6b6m5fscC4w7mwIDw==" saltValue="27sy67YYtdSeR6RFyPCkV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5" t="s">
        <v>93</v>
      </c>
      <c r="C3" s="75"/>
      <c r="D3" s="1"/>
    </row>
    <row r="4" spans="1:4" ht="25.5" customHeight="1" x14ac:dyDescent="0.25">
      <c r="A4" s="1"/>
      <c r="B4" s="75"/>
      <c r="C4" s="7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55"/>
      <c r="D8" s="1"/>
    </row>
    <row r="9" spans="1:4" x14ac:dyDescent="0.25">
      <c r="A9" s="1"/>
      <c r="B9" s="28" t="s">
        <v>126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4"/>
      <c r="C15" s="5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54</v>
      </c>
      <c r="C18" s="55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tMPW9t9zEaL+EHE8nFrNgrmoxeUb1XSj+nj+qdArYSyFgFwoIaqS58M6wbsIL2MpRxljMNOtnpoSytocg6zWDw==" saltValue="E/PQY4UtQA4hFzgVjnuSP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44" t="s">
        <v>24</v>
      </c>
      <c r="C9" s="44"/>
      <c r="D9" s="44"/>
      <c r="E9" s="7">
        <f>'Fane 3. Omkostninger i ØR2021'!E16</f>
        <v>1586671.2424835567</v>
      </c>
      <c r="F9" s="44" t="s">
        <v>3</v>
      </c>
      <c r="G9" s="1"/>
    </row>
    <row r="10" spans="1:7" ht="17.100000000000001" customHeight="1" x14ac:dyDescent="0.25">
      <c r="A10" s="1"/>
      <c r="B10" s="33" t="s">
        <v>121</v>
      </c>
      <c r="C10" s="44"/>
      <c r="D10" s="44"/>
      <c r="E10" s="7">
        <f>'Fane 3. Omkostninger i ØR2021'!E13*(1-'Fane 10. Nøgletal'!C19)*(1+'Fane 10. Nøgletal'!C13)</f>
        <v>0</v>
      </c>
      <c r="F10" s="44" t="s">
        <v>3</v>
      </c>
      <c r="G10" s="1"/>
    </row>
    <row r="11" spans="1:7" ht="17.100000000000001" customHeight="1" x14ac:dyDescent="0.25">
      <c r="A11" s="1"/>
      <c r="B11" s="29" t="s">
        <v>60</v>
      </c>
      <c r="C11" s="44"/>
      <c r="D11" s="44"/>
      <c r="E11" s="7">
        <f>'Fane 7.1. Varige tillæg'!C12+'Fane 7.1. Varige tillæg'!E12</f>
        <v>0</v>
      </c>
      <c r="F11" s="44" t="s">
        <v>3</v>
      </c>
      <c r="G11" s="1"/>
    </row>
    <row r="12" spans="1:7" ht="17.100000000000001" customHeight="1" x14ac:dyDescent="0.25">
      <c r="A12" s="1"/>
      <c r="B12" s="29" t="s">
        <v>62</v>
      </c>
      <c r="C12" s="44"/>
      <c r="D12" s="44"/>
      <c r="E12" s="8">
        <f>-('Fane 9. Bortfald'!C12+'Fane 9. Bortfald'!E12)</f>
        <v>0</v>
      </c>
      <c r="F12" s="44" t="s">
        <v>3</v>
      </c>
      <c r="G12" s="1"/>
    </row>
    <row r="13" spans="1:7" ht="17.100000000000001" customHeight="1" x14ac:dyDescent="0.25">
      <c r="A13" s="1"/>
      <c r="B13" s="29" t="s">
        <v>65</v>
      </c>
      <c r="C13" s="44"/>
      <c r="D13" s="44"/>
      <c r="E13" s="8">
        <f>'Fane 8. Tilknyttet virksomhed'!C12+'Fane 8. Tilknyttet virksomhed'!E12</f>
        <v>0</v>
      </c>
      <c r="F13" s="44" t="s">
        <v>3</v>
      </c>
      <c r="G13" s="1"/>
    </row>
    <row r="14" spans="1:7" ht="17.100000000000001" customHeight="1" x14ac:dyDescent="0.25">
      <c r="A14" s="1"/>
      <c r="B14" s="29" t="s">
        <v>18</v>
      </c>
      <c r="C14" s="44"/>
      <c r="D14" s="44"/>
      <c r="E14" s="8">
        <f>E9*'Fane 10. Nøgletal'!C13+SUM(E11:E13)*'Fane 10. Nøgletal'!C14</f>
        <v>19357.389158299393</v>
      </c>
      <c r="F14" s="44" t="s">
        <v>3</v>
      </c>
      <c r="G14" s="1"/>
    </row>
    <row r="15" spans="1:7" ht="17.100000000000001" customHeight="1" x14ac:dyDescent="0.25">
      <c r="A15" s="1"/>
      <c r="B15" s="29" t="s">
        <v>54</v>
      </c>
      <c r="C15" s="44"/>
      <c r="D15" s="44"/>
      <c r="E15" s="8">
        <f>-SUM(E9,E11:E14)*'Fane 10. Nøgletal'!C19</f>
        <v>-27302.486737911557</v>
      </c>
      <c r="F15" s="44" t="s">
        <v>3</v>
      </c>
      <c r="G15" s="1"/>
    </row>
    <row r="16" spans="1:7" ht="15" customHeight="1" x14ac:dyDescent="0.25">
      <c r="A16" s="1"/>
      <c r="B16" s="51" t="s">
        <v>20</v>
      </c>
      <c r="C16" s="37"/>
      <c r="D16" s="37"/>
      <c r="E16" s="9">
        <f>SUM(E9,E11:E15)</f>
        <v>1578726.1449039446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omk.'!C13</f>
        <v>2123316.8262610803</v>
      </c>
      <c r="F18" s="39" t="s">
        <v>3</v>
      </c>
      <c r="G18" s="1"/>
    </row>
    <row r="19" spans="1:7" ht="15" customHeight="1" x14ac:dyDescent="0.25">
      <c r="A19" s="1"/>
      <c r="B19" s="38" t="s">
        <v>42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9" t="s">
        <v>39</v>
      </c>
      <c r="C20" s="44"/>
      <c r="D20" s="44"/>
      <c r="E20" s="8">
        <f>'Fane 7.2. Engangstillæg'!C13</f>
        <v>0</v>
      </c>
      <c r="F20" s="44" t="s">
        <v>3</v>
      </c>
      <c r="G20" s="1"/>
    </row>
    <row r="21" spans="1:7" x14ac:dyDescent="0.25">
      <c r="A21" s="1"/>
      <c r="B21" s="29" t="s">
        <v>40</v>
      </c>
      <c r="C21" s="44"/>
      <c r="D21" s="44"/>
      <c r="E21" s="8">
        <f>'Fane 7.2. Engangstillæg'!E13</f>
        <v>0</v>
      </c>
      <c r="F21" s="44" t="s">
        <v>3</v>
      </c>
      <c r="G21" s="1"/>
    </row>
    <row r="22" spans="1:7" ht="15" customHeight="1" x14ac:dyDescent="0.25">
      <c r="A22" s="1"/>
      <c r="B22" s="51" t="s">
        <v>43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85</v>
      </c>
      <c r="C23" s="38"/>
      <c r="D23" s="38"/>
      <c r="E23" s="38"/>
      <c r="F23" s="38"/>
      <c r="G23" s="1"/>
    </row>
    <row r="24" spans="1:7" x14ac:dyDescent="0.25">
      <c r="A24" s="1"/>
      <c r="B24" s="51" t="s">
        <v>31</v>
      </c>
      <c r="C24" s="37"/>
      <c r="D24" s="37"/>
      <c r="E24" s="9">
        <v>-642285.56907884008</v>
      </c>
      <c r="F24" s="39" t="s">
        <v>3</v>
      </c>
      <c r="G24" s="1"/>
    </row>
    <row r="25" spans="1:7" x14ac:dyDescent="0.25">
      <c r="A25" s="1"/>
      <c r="B25" s="51" t="s">
        <v>86</v>
      </c>
      <c r="C25" s="37"/>
      <c r="D25" s="37"/>
      <c r="E25" s="9">
        <f>'Fane 5. Kontrol af ØR2020'!E29</f>
        <v>0</v>
      </c>
      <c r="F25" s="39" t="s">
        <v>3</v>
      </c>
      <c r="G25" s="1"/>
    </row>
    <row r="26" spans="1:7" x14ac:dyDescent="0.25">
      <c r="A26" s="1"/>
      <c r="B26" s="38" t="s">
        <v>144</v>
      </c>
      <c r="C26" s="38"/>
      <c r="D26" s="38"/>
      <c r="E26" s="38"/>
      <c r="F26" s="38"/>
      <c r="G26" s="1"/>
    </row>
    <row r="27" spans="1:7" x14ac:dyDescent="0.25">
      <c r="A27" s="1"/>
      <c r="B27" s="39" t="s">
        <v>145</v>
      </c>
      <c r="C27" s="39"/>
      <c r="D27" s="39"/>
      <c r="E27" s="9">
        <v>0</v>
      </c>
      <c r="F27" s="39" t="s">
        <v>3</v>
      </c>
      <c r="G27" s="1"/>
    </row>
    <row r="28" spans="1:7" x14ac:dyDescent="0.25">
      <c r="A28" s="1"/>
      <c r="B28" s="38" t="s">
        <v>26</v>
      </c>
      <c r="C28" s="38"/>
      <c r="D28" s="38"/>
      <c r="E28" s="10">
        <f>SUM(E16,E18,E22,E24,E25,E27)</f>
        <v>3059757.4020861844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WYRRm++0UfP33j3ebjCUb4RpVewuV9NXKSrEjM2jTuv1RBqZ2U10B3iqggvCUrefx9mbW0Oyy4rtY5i2toKmg==" saltValue="+KfdBRZSEi+zcqDMrNnek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66</v>
      </c>
      <c r="C8" s="44"/>
      <c r="D8" s="44"/>
      <c r="E8" s="7">
        <f>'Fane 2.1. Økonomisk ramme 2022'!E16</f>
        <v>1578726.1449039446</v>
      </c>
      <c r="F8" s="44" t="s">
        <v>3</v>
      </c>
      <c r="G8" s="1"/>
    </row>
    <row r="9" spans="1:7" ht="15" customHeight="1" x14ac:dyDescent="0.25">
      <c r="A9" s="1"/>
      <c r="B9" s="29" t="s">
        <v>62</v>
      </c>
      <c r="C9" s="44"/>
      <c r="D9" s="44"/>
      <c r="E9" s="7">
        <f>-('Fane 9. Bortfald'!C18+'Fane 9. Bortfald'!E18)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5209.7962781830174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-26926.911000096174</v>
      </c>
      <c r="F11" s="44" t="s">
        <v>3</v>
      </c>
      <c r="G11" s="1"/>
    </row>
    <row r="12" spans="1:7" ht="15" customHeight="1" x14ac:dyDescent="0.25">
      <c r="A12" s="1"/>
      <c r="B12" s="37" t="s">
        <v>20</v>
      </c>
      <c r="C12" s="37"/>
      <c r="D12" s="37"/>
      <c r="E12" s="9">
        <f>SUM(E8:E11)</f>
        <v>1557009.0301820314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</f>
        <v>2130323.7717877422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Engangstillæg'!C20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Engangstillæg'!E20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x14ac:dyDescent="0.25">
      <c r="A19" s="1"/>
      <c r="B19" s="38" t="s">
        <v>85</v>
      </c>
      <c r="C19" s="38"/>
      <c r="D19" s="38"/>
      <c r="E19" s="38"/>
      <c r="F19" s="38"/>
      <c r="G19" s="1"/>
    </row>
    <row r="20" spans="1:7" x14ac:dyDescent="0.25">
      <c r="A20" s="1"/>
      <c r="B20" s="39" t="s">
        <v>86</v>
      </c>
      <c r="C20" s="39"/>
      <c r="D20" s="39"/>
      <c r="E20" s="9">
        <f>'Fane 5. Kontrol af ØR2020'!E35</f>
        <v>-9986.6294003439834</v>
      </c>
      <c r="F20" s="39" t="s">
        <v>3</v>
      </c>
      <c r="G20" s="1"/>
    </row>
    <row r="21" spans="1:7" x14ac:dyDescent="0.25">
      <c r="A21" s="1"/>
      <c r="B21" s="38" t="s">
        <v>47</v>
      </c>
      <c r="C21" s="38"/>
      <c r="D21" s="38"/>
      <c r="E21" s="10">
        <f>SUM(E12,E14,E18,E20)</f>
        <v>3677346.1725694295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LezQTuDYSWEDaAXWSxbGOd4D8Euil1+7ohoSTjvpXzUVICc+6YCpzM36h3nGWDQiHuqhiJ9A4dphp1HVCjN4A==" saltValue="nHAQPZLHPaYUvmflbkxqp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67</v>
      </c>
      <c r="C8" s="44"/>
      <c r="D8" s="44"/>
      <c r="E8" s="7">
        <f>'Fane 2.2. Økonomisk ramme 2023'!E12</f>
        <v>1557009.0301820314</v>
      </c>
      <c r="F8" s="44" t="s">
        <v>3</v>
      </c>
      <c r="G8" s="1"/>
    </row>
    <row r="9" spans="1:7" ht="15" customHeight="1" x14ac:dyDescent="0.25">
      <c r="A9" s="1"/>
      <c r="B9" s="44" t="s">
        <v>62</v>
      </c>
      <c r="C9" s="44"/>
      <c r="D9" s="44"/>
      <c r="E9" s="7">
        <f>-('Fane 9. Bortfald'!C24+'Fane 9. Bortfald'!E24)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5138.1297996007033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-26556.501719687749</v>
      </c>
      <c r="F11" s="44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1535590.6582619443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Nøgletal'!C14)^2</f>
        <v>2137353.8402346419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Engangstillæg'!C27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Engangstillæg'!E27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9" t="s">
        <v>86</v>
      </c>
      <c r="C20" s="39"/>
      <c r="D20" s="39"/>
      <c r="E20" s="9">
        <f>'Fane 5. Kontrol af ØR2020'!E35</f>
        <v>-9986.6294003439834</v>
      </c>
      <c r="F20" s="39" t="s">
        <v>3</v>
      </c>
      <c r="G20" s="1"/>
    </row>
    <row r="21" spans="1:7" x14ac:dyDescent="0.25">
      <c r="A21" s="1"/>
      <c r="B21" s="38" t="s">
        <v>68</v>
      </c>
      <c r="C21" s="38"/>
      <c r="D21" s="38"/>
      <c r="E21" s="10">
        <f>SUM(E12,E14,E18,E20)</f>
        <v>3662957.8690962424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6xvpmWxhVWFqG9yeAwNXq67qosC3AXi+Nmpy34z3xqroItnrYC8/WZduLe06NHAxllB4k2dpOPpbfnSZPY83Fw==" saltValue="M5NP7dRCuMS7j6q6VLkPh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103</v>
      </c>
      <c r="C8" s="44"/>
      <c r="D8" s="44"/>
      <c r="E8" s="7">
        <f>'Fane 2.3. Økonomisk ramme 2024'!E12</f>
        <v>1535590.6582619443</v>
      </c>
      <c r="F8" s="44" t="s">
        <v>3</v>
      </c>
      <c r="G8" s="1"/>
    </row>
    <row r="9" spans="1:7" ht="15" customHeight="1" x14ac:dyDescent="0.25">
      <c r="A9" s="1"/>
      <c r="B9" s="44" t="s">
        <v>62</v>
      </c>
      <c r="C9" s="44"/>
      <c r="D9" s="44"/>
      <c r="E9" s="7">
        <f>-('Fane 9. Bortfald'!C30+'Fane 9. Bortfald'!E30)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5067.4491722644161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-26191.187826381549</v>
      </c>
      <c r="F11" s="44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1514466.9196078272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Nøgletal'!C14)^3</f>
        <v>2144407.1079074163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Engangstillæg'!C34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Engangstillæg'!E34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9" t="s">
        <v>86</v>
      </c>
      <c r="C20" s="39"/>
      <c r="D20" s="39"/>
      <c r="E20" s="9">
        <f>'Fane 5. Kontrol af ØR2020'!E35</f>
        <v>-9986.6294003439834</v>
      </c>
      <c r="F20" s="39" t="s">
        <v>3</v>
      </c>
      <c r="G20" s="1"/>
    </row>
    <row r="21" spans="1:7" x14ac:dyDescent="0.25">
      <c r="A21" s="1"/>
      <c r="B21" s="38" t="s">
        <v>104</v>
      </c>
      <c r="C21" s="38"/>
      <c r="D21" s="38"/>
      <c r="E21" s="10">
        <f>SUM(E12,E14,E18,E20)</f>
        <v>3648887.3981148996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onJfJEZTki/xcr/aeVIhx4hDHPXoyNKNHGSSOqv6YXyRgdYpOM3MrM+vjuh28J+ZFTm6HDK7tk4yKxu8tOlCCQ==" saltValue="PUpyIMyu++JcQOzoO1O0+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125</v>
      </c>
      <c r="C8" s="38"/>
      <c r="D8" s="38"/>
      <c r="E8" s="38"/>
      <c r="F8" s="38"/>
      <c r="G8" s="1"/>
    </row>
    <row r="9" spans="1:7" x14ac:dyDescent="0.25">
      <c r="A9" s="1"/>
      <c r="B9" s="76" t="s">
        <v>23</v>
      </c>
      <c r="C9" s="76"/>
      <c r="D9" s="76"/>
      <c r="E9" s="7">
        <v>1593027.0023337039</v>
      </c>
      <c r="F9" s="44" t="s">
        <v>3</v>
      </c>
      <c r="G9" s="1"/>
    </row>
    <row r="10" spans="1:7" x14ac:dyDescent="0.25">
      <c r="A10" s="1"/>
      <c r="B10" s="77" t="s">
        <v>127</v>
      </c>
      <c r="C10" s="77"/>
      <c r="D10" s="77"/>
      <c r="E10" s="7">
        <v>1629.3222294705943</v>
      </c>
      <c r="F10" s="44" t="s">
        <v>3</v>
      </c>
      <c r="G10" s="1"/>
    </row>
    <row r="11" spans="1:7" x14ac:dyDescent="0.25">
      <c r="A11" s="1"/>
      <c r="B11" s="77" t="s">
        <v>60</v>
      </c>
      <c r="C11" s="77"/>
      <c r="D11" s="77"/>
      <c r="E11" s="7">
        <v>0</v>
      </c>
      <c r="F11" s="44" t="s">
        <v>3</v>
      </c>
      <c r="G11" s="1"/>
    </row>
    <row r="12" spans="1:7" x14ac:dyDescent="0.25">
      <c r="A12" s="1"/>
      <c r="B12" s="77" t="s">
        <v>65</v>
      </c>
      <c r="C12" s="77"/>
      <c r="D12" s="77"/>
      <c r="E12" s="7">
        <v>0</v>
      </c>
      <c r="F12" s="44" t="s">
        <v>3</v>
      </c>
      <c r="G12" s="1"/>
    </row>
    <row r="13" spans="1:7" x14ac:dyDescent="0.25">
      <c r="A13" s="1"/>
      <c r="B13" s="77" t="s">
        <v>61</v>
      </c>
      <c r="C13" s="77"/>
      <c r="D13" s="77"/>
      <c r="E13" s="8">
        <v>0</v>
      </c>
      <c r="F13" s="44" t="s">
        <v>3</v>
      </c>
      <c r="G13" s="1"/>
    </row>
    <row r="14" spans="1:7" x14ac:dyDescent="0.25">
      <c r="A14" s="1"/>
      <c r="B14" s="77" t="s">
        <v>18</v>
      </c>
      <c r="C14" s="77"/>
      <c r="D14" s="77"/>
      <c r="E14" s="8">
        <f>SUM(E9:E13)*'Fane 10. Nøgletal'!C13</f>
        <v>19454.80715967073</v>
      </c>
      <c r="F14" s="44" t="s">
        <v>3</v>
      </c>
      <c r="G14" s="1"/>
    </row>
    <row r="15" spans="1:7" x14ac:dyDescent="0.25">
      <c r="A15" s="1"/>
      <c r="B15" s="77" t="s">
        <v>54</v>
      </c>
      <c r="C15" s="77"/>
      <c r="D15" s="77"/>
      <c r="E15" s="8">
        <f>-SUM(E9:E14)*'Fane 10. Nøgletal'!C19</f>
        <v>-27439.889239288368</v>
      </c>
      <c r="F15" s="44" t="s">
        <v>3</v>
      </c>
      <c r="G15" s="1"/>
    </row>
    <row r="16" spans="1:7" x14ac:dyDescent="0.25">
      <c r="A16" s="1"/>
      <c r="B16" s="79" t="s">
        <v>20</v>
      </c>
      <c r="C16" s="79"/>
      <c r="D16" s="79"/>
      <c r="E16" s="9">
        <f>SUM(E9:E15)</f>
        <v>1586671.2424835567</v>
      </c>
      <c r="F16" s="39" t="s">
        <v>3</v>
      </c>
      <c r="G16" s="1"/>
    </row>
    <row r="17" spans="1:7" x14ac:dyDescent="0.25">
      <c r="A17" s="1"/>
      <c r="B17" s="80" t="s">
        <v>12</v>
      </c>
      <c r="C17" s="80"/>
      <c r="D17" s="80"/>
      <c r="E17" s="38"/>
      <c r="F17" s="38"/>
      <c r="G17" s="1"/>
    </row>
    <row r="18" spans="1:7" x14ac:dyDescent="0.25">
      <c r="A18" s="1"/>
      <c r="B18" s="81" t="s">
        <v>12</v>
      </c>
      <c r="C18" s="81"/>
      <c r="D18" s="81"/>
      <c r="E18" s="9">
        <v>811201.91230259999</v>
      </c>
      <c r="F18" s="39" t="s">
        <v>3</v>
      </c>
      <c r="G18" s="1"/>
    </row>
    <row r="19" spans="1:7" ht="15.4" customHeight="1" x14ac:dyDescent="0.25">
      <c r="A19" s="1"/>
      <c r="B19" s="38" t="s">
        <v>42</v>
      </c>
      <c r="C19" s="38"/>
      <c r="D19" s="38"/>
      <c r="E19" s="38"/>
      <c r="F19" s="38"/>
      <c r="G19" s="1"/>
    </row>
    <row r="20" spans="1:7" ht="15.75" customHeight="1" x14ac:dyDescent="0.25">
      <c r="A20" s="1"/>
      <c r="B20" s="82" t="s">
        <v>39</v>
      </c>
      <c r="C20" s="83"/>
      <c r="D20" s="84"/>
      <c r="E20" s="35">
        <v>0</v>
      </c>
      <c r="F20" s="32" t="s">
        <v>3</v>
      </c>
      <c r="G20" s="1"/>
    </row>
    <row r="21" spans="1:7" x14ac:dyDescent="0.25">
      <c r="A21" s="1"/>
      <c r="B21" s="82" t="s">
        <v>40</v>
      </c>
      <c r="C21" s="83"/>
      <c r="D21" s="84"/>
      <c r="E21" s="35">
        <v>0</v>
      </c>
      <c r="F21" s="32" t="s">
        <v>3</v>
      </c>
      <c r="G21" s="1"/>
    </row>
    <row r="22" spans="1:7" x14ac:dyDescent="0.2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25">
      <c r="A23" s="1"/>
      <c r="B23" s="38" t="s">
        <v>85</v>
      </c>
      <c r="C23" s="38"/>
      <c r="D23" s="38"/>
      <c r="E23" s="38"/>
      <c r="F23" s="38"/>
      <c r="G23" s="1"/>
    </row>
    <row r="24" spans="1:7" x14ac:dyDescent="0.25">
      <c r="A24" s="1"/>
      <c r="B24" s="51" t="s">
        <v>31</v>
      </c>
      <c r="C24" s="37"/>
      <c r="D24" s="37"/>
      <c r="E24" s="9">
        <v>-642285.56907884008</v>
      </c>
      <c r="F24" s="39" t="s">
        <v>3</v>
      </c>
      <c r="G24" s="1"/>
    </row>
    <row r="25" spans="1:7" x14ac:dyDescent="0.25">
      <c r="A25" s="1"/>
      <c r="B25" s="51" t="s">
        <v>86</v>
      </c>
      <c r="C25" s="37"/>
      <c r="D25" s="37"/>
      <c r="E25" s="9">
        <v>-917822.25650533894</v>
      </c>
      <c r="F25" s="39" t="s">
        <v>3</v>
      </c>
      <c r="G25" s="1"/>
    </row>
    <row r="26" spans="1:7" ht="15" customHeight="1" x14ac:dyDescent="0.25">
      <c r="A26" s="1"/>
      <c r="B26" s="38" t="s">
        <v>25</v>
      </c>
      <c r="C26" s="38"/>
      <c r="D26" s="38"/>
      <c r="E26" s="10">
        <f>E16+E18+E22+E24+E25</f>
        <v>837765.32920197747</v>
      </c>
      <c r="F26" s="11" t="s">
        <v>3</v>
      </c>
      <c r="G26" s="1"/>
    </row>
    <row r="27" spans="1:7" ht="27" customHeight="1" x14ac:dyDescent="0.25">
      <c r="A27" s="1"/>
      <c r="B27" s="78" t="s">
        <v>120</v>
      </c>
      <c r="C27" s="78"/>
      <c r="D27" s="78"/>
      <c r="E27" s="78"/>
      <c r="F27" s="78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EYE7KAz7xBsSylUuCZO7t0tqOxsg6rerjtgDmaX6GdZGgNJf9nnmT6CKIaYyawViKieWi4A8Gx1OvXMKByuO1g==" saltValue="O01rx2KWTrwabMJrlHUy2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39" t="s">
        <v>106</v>
      </c>
      <c r="D9" s="39"/>
      <c r="E9" s="1"/>
      <c r="F9" s="1"/>
    </row>
    <row r="10" spans="1:6" ht="15" customHeight="1" x14ac:dyDescent="0.25">
      <c r="A10" s="1"/>
      <c r="B10" s="28" t="s">
        <v>148</v>
      </c>
      <c r="C10" s="8">
        <v>2102100</v>
      </c>
      <c r="D10" s="12" t="s">
        <v>3</v>
      </c>
      <c r="E10" s="1"/>
      <c r="F10" s="1"/>
    </row>
    <row r="11" spans="1:6" x14ac:dyDescent="0.25">
      <c r="A11" s="1"/>
      <c r="B11" s="28" t="s">
        <v>149</v>
      </c>
      <c r="C11" s="8">
        <v>7272</v>
      </c>
      <c r="D11" s="12" t="s">
        <v>3</v>
      </c>
      <c r="E11" s="1"/>
      <c r="F11" s="1"/>
    </row>
    <row r="12" spans="1:6" x14ac:dyDescent="0.25">
      <c r="A12" s="1"/>
      <c r="B12" s="54" t="s">
        <v>108</v>
      </c>
      <c r="C12" s="10">
        <f>SUM(C10:C11)</f>
        <v>2109372</v>
      </c>
      <c r="D12" s="11" t="s">
        <v>3</v>
      </c>
      <c r="E12" s="1"/>
      <c r="F12" s="1"/>
    </row>
    <row r="13" spans="1:6" x14ac:dyDescent="0.25">
      <c r="A13" s="1"/>
      <c r="B13" s="54" t="s">
        <v>109</v>
      </c>
      <c r="C13" s="10">
        <f>C12*(1+'Fane 10. Nøgletal'!C14)^2</f>
        <v>2123316.8262610803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jdmCfUy32sUAvwnd4MlVab9dkfziMrhRjgt9/+uXffgrBYQx50rc3rO3fmpjH7PHx8VYiZxfYd2mDrNJHLU/Q==" saltValue="IGHAIPvvTTIpFzj2pDYdf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5" t="s">
        <v>130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131</v>
      </c>
      <c r="C8" s="89"/>
      <c r="D8" s="89"/>
      <c r="E8" s="89"/>
      <c r="F8" s="90"/>
      <c r="G8" s="1"/>
    </row>
    <row r="9" spans="1:7" x14ac:dyDescent="0.25">
      <c r="A9" s="1"/>
      <c r="B9" s="98" t="s">
        <v>132</v>
      </c>
      <c r="C9" s="99"/>
      <c r="D9" s="100"/>
      <c r="E9" s="8">
        <v>-1700543.3724089847</v>
      </c>
      <c r="F9" s="12" t="s">
        <v>3</v>
      </c>
      <c r="G9" s="1"/>
    </row>
    <row r="10" spans="1:7" x14ac:dyDescent="0.25">
      <c r="A10" s="1"/>
      <c r="B10" s="98" t="s">
        <v>133</v>
      </c>
      <c r="C10" s="99"/>
      <c r="D10" s="100"/>
      <c r="E10" s="8">
        <v>-147649.14060169319</v>
      </c>
      <c r="F10" s="12" t="s">
        <v>3</v>
      </c>
      <c r="G10" s="1"/>
    </row>
    <row r="11" spans="1:7" x14ac:dyDescent="0.25">
      <c r="A11" s="1"/>
      <c r="B11" s="98" t="s">
        <v>134</v>
      </c>
      <c r="C11" s="99"/>
      <c r="D11" s="100"/>
      <c r="E11" s="8">
        <v>12548.169424147811</v>
      </c>
      <c r="F11" s="12" t="s">
        <v>3</v>
      </c>
      <c r="G11" s="1"/>
    </row>
    <row r="12" spans="1:7" x14ac:dyDescent="0.25">
      <c r="A12" s="1"/>
      <c r="B12" s="54"/>
      <c r="C12" s="22"/>
      <c r="D12" s="22"/>
      <c r="E12" s="22"/>
      <c r="F12" s="55"/>
      <c r="G12" s="1"/>
    </row>
    <row r="13" spans="1:7" ht="51.75" customHeight="1" x14ac:dyDescent="0.25">
      <c r="A13" s="1"/>
      <c r="B13" s="101" t="s">
        <v>135</v>
      </c>
      <c r="C13" s="102"/>
      <c r="D13" s="102"/>
      <c r="E13" s="102"/>
      <c r="F13" s="103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136</v>
      </c>
      <c r="C15" s="89"/>
      <c r="D15" s="89"/>
      <c r="E15" s="89"/>
      <c r="F15" s="90"/>
      <c r="G15" s="1"/>
    </row>
    <row r="16" spans="1:7" x14ac:dyDescent="0.25">
      <c r="A16" s="1"/>
      <c r="B16" s="98" t="s">
        <v>137</v>
      </c>
      <c r="C16" s="99"/>
      <c r="D16" s="100"/>
      <c r="E16" s="8">
        <v>-917822.25650533894</v>
      </c>
      <c r="F16" s="12" t="s">
        <v>3</v>
      </c>
      <c r="G16" s="1"/>
    </row>
    <row r="17" spans="1:7" x14ac:dyDescent="0.25">
      <c r="A17" s="1"/>
      <c r="B17" s="98" t="s">
        <v>138</v>
      </c>
      <c r="C17" s="99"/>
      <c r="D17" s="100"/>
      <c r="E17" s="8">
        <v>-917822.25650533894</v>
      </c>
      <c r="F17" s="12" t="s">
        <v>3</v>
      </c>
      <c r="G17" s="1"/>
    </row>
    <row r="18" spans="1:7" x14ac:dyDescent="0.25">
      <c r="A18" s="1"/>
      <c r="B18" s="54"/>
      <c r="C18" s="22"/>
      <c r="D18" s="22"/>
      <c r="E18" s="22"/>
      <c r="F18" s="55"/>
      <c r="G18" s="1"/>
    </row>
    <row r="19" spans="1:7" ht="29.25" customHeight="1" x14ac:dyDescent="0.25">
      <c r="A19" s="1"/>
      <c r="B19" s="101" t="s">
        <v>139</v>
      </c>
      <c r="C19" s="102"/>
      <c r="D19" s="102"/>
      <c r="E19" s="102"/>
      <c r="F19" s="103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5" t="s">
        <v>122</v>
      </c>
      <c r="C21" s="46"/>
      <c r="D21" s="46"/>
      <c r="E21" s="46"/>
      <c r="F21" s="47"/>
      <c r="G21" s="1"/>
    </row>
    <row r="22" spans="1:7" x14ac:dyDescent="0.25">
      <c r="A22" s="1"/>
      <c r="B22" s="48" t="s">
        <v>123</v>
      </c>
      <c r="C22" s="49"/>
      <c r="D22" s="50"/>
      <c r="E22" s="8">
        <v>2077714.4823986241</v>
      </c>
      <c r="F22" s="12" t="s">
        <v>3</v>
      </c>
      <c r="G22" s="1"/>
    </row>
    <row r="23" spans="1:7" x14ac:dyDescent="0.25">
      <c r="A23" s="1"/>
      <c r="B23" s="48" t="s">
        <v>150</v>
      </c>
      <c r="C23" s="49"/>
      <c r="D23" s="50"/>
      <c r="E23" s="8">
        <v>2117661</v>
      </c>
      <c r="F23" s="12" t="s">
        <v>3</v>
      </c>
      <c r="G23" s="1"/>
    </row>
    <row r="24" spans="1:7" x14ac:dyDescent="0.2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25">
      <c r="A25" s="1"/>
      <c r="B25" s="40" t="s">
        <v>124</v>
      </c>
      <c r="C25" s="41"/>
      <c r="D25" s="42"/>
      <c r="E25" s="34">
        <f>E22-(E23-E24)</f>
        <v>-39946.517601375934</v>
      </c>
      <c r="F25" s="15" t="s">
        <v>3</v>
      </c>
      <c r="G25" s="1"/>
    </row>
    <row r="26" spans="1:7" x14ac:dyDescent="0.25">
      <c r="A26" s="1"/>
      <c r="B26" s="54"/>
      <c r="C26" s="22"/>
      <c r="D26" s="22"/>
      <c r="E26" s="22"/>
      <c r="F26" s="55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140</v>
      </c>
      <c r="C28" s="89"/>
      <c r="D28" s="89"/>
      <c r="E28" s="89"/>
      <c r="F28" s="90"/>
      <c r="G28" s="1"/>
    </row>
    <row r="29" spans="1:7" x14ac:dyDescent="0.25">
      <c r="A29" s="1"/>
      <c r="B29" s="85" t="s">
        <v>141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142</v>
      </c>
      <c r="C32" s="89"/>
      <c r="D32" s="89"/>
      <c r="E32" s="89"/>
      <c r="F32" s="90"/>
      <c r="G32" s="1"/>
    </row>
    <row r="33" spans="1:7" x14ac:dyDescent="0.25">
      <c r="A33" s="1"/>
      <c r="B33" s="94" t="s">
        <v>85</v>
      </c>
      <c r="C33" s="95"/>
      <c r="D33" s="96"/>
      <c r="E33" s="8">
        <f>IF(AND(SUM(E9:E11)&gt;0,E25&lt;0,ABS(SUM(E9:E11))&lt;ABS(E25)),(SUM(E9:E11)-ABS(E25)),IF(AND(SUM(E9:E11)&lt;0,E25&lt;0),E25,0))</f>
        <v>-39946.517601375934</v>
      </c>
      <c r="F33" s="12" t="s">
        <v>3</v>
      </c>
      <c r="G33" s="1"/>
    </row>
    <row r="34" spans="1:7" x14ac:dyDescent="0.25">
      <c r="A34" s="1"/>
      <c r="B34" s="94" t="s">
        <v>55</v>
      </c>
      <c r="C34" s="95"/>
      <c r="D34" s="96"/>
      <c r="E34" s="8">
        <v>4</v>
      </c>
      <c r="F34" s="12" t="s">
        <v>19</v>
      </c>
      <c r="G34" s="1"/>
    </row>
    <row r="35" spans="1:7" x14ac:dyDescent="0.25">
      <c r="A35" s="1"/>
      <c r="B35" s="97" t="s">
        <v>143</v>
      </c>
      <c r="C35" s="97"/>
      <c r="D35" s="97"/>
      <c r="E35" s="9">
        <f>E33/E34</f>
        <v>-9986.6294003439834</v>
      </c>
      <c r="F35" s="15" t="s">
        <v>3</v>
      </c>
      <c r="G35" s="1"/>
    </row>
    <row r="36" spans="1:7" x14ac:dyDescent="0.25">
      <c r="A36" s="1"/>
      <c r="B36" s="91"/>
      <c r="C36" s="92"/>
      <c r="D36" s="92"/>
      <c r="E36" s="92"/>
      <c r="F36" s="9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7ruYllKaEDdnmsvwtRZSF0F4+G+pIn9MHvKVLgcM3tNMVltqFS6hzwKQAHZeU5LYl/wFmXjQjYpvuUzIQjcNmQ==" saltValue="/tEyEupFp0ZwBCL7kqxQE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27</v>
      </c>
      <c r="H9" s="53"/>
      <c r="I9" s="1"/>
    </row>
    <row r="10" spans="1:9" x14ac:dyDescent="0.25">
      <c r="A10" s="1"/>
      <c r="B10" s="56" t="s">
        <v>146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m/OiuGnsuKzLrSQkycWnfdKqKmMC+zl6m2+HzZGTf1VEaYbaEpd8SgPfsOKkuuphjyZUi85eZQeUXa/pE8UXQ==" saltValue="O3ydaMn9BXj4ziNCqHNya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2021-09-15T14:32:03Z</dcterms:modified>
</cp:coreProperties>
</file>