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Aarhus Vand AS (S11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6"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7"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<sst xmlns="http://schemas.openxmlformats.org/spreadsheetml/2006/main" count="617" uniqueCount="292">
  <si>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</si>
  <si>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</si>
  <si>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</si>
  <si>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</si>
  <si>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</si>
  <si>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</si>
  <si>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</si>
  <si>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</si>
  <si>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</si>
  <si>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</si>
  <si>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</si>
  <si>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</si>
  <si>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</si>
  <si>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</si>
  <si>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</si>
  <si>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</si>
  <si>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</si>
  <si>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</si>
  <si>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</si>
  <si>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</si>
  <si>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</si>
  <si>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</si>
  <si>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</si>
  <si>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</si>
  <si>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</si>
  <si>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</si>
  <si>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</si>
  <si>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</si>
  <si>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</si>
  <si>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</si>
  <si>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</si>
  <si>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</si>
  <si>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</si>
  <si>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</si>
  <si>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</si>
  <si>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</si>
  <si>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</si>
  <si>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</si>
  <si>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</si>
  <si>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</si>
  <si>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</si>
  <si>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</si>
  <si>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</si>
  <si>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</si>
  <si>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</si>
  <si>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</si>
  <si>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</si>
  <si>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</si>
  <si>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</si>
  <si>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</si>
  <si>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</si>
  <si>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</si>
  <si>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</si>
  <si>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</si>
  <si>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</si>
  <si>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</si>
  <si>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</si>
  <si>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</si>
  <si>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</si>
  <si>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</si>
  <si>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</si>
  <si>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</si>
  <si>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</si>
  <si>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</si>
  <si>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</si>
  <si>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</si>
  <si>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</si>
  <si>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</si>
  <si>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</si>
  <si>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</si>
  <si>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</si>
  <si>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</si>
  <si>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</si>
  <si>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</si>
  <si>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</si>
  <si>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</si>
  <si>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</si>
  <si>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</si>
  <si>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</si>
  <si>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</si>
  <si>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</si>
  <si>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</si>
  <si>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</si>
  <si>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</si>
  <si>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</si>
  <si>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</si>
  <si>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</si>
  <si>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</si>
  <si>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</si>
  <si>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</si>
  <si>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</si>
  <si>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</si>
  <si>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</si>
  <si>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</si>
  <si>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</si>
  <si>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</si>
  <si>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</si>
  <si>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</si>
  <si>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</si>
  <si>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</si>
  <si>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</si>
  <si>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</si>
  <si>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</si>
  <si>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</si>
  <si>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</si>
  <si>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</si>
  <si>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</si>
  <si>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</si>
  <si>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</si>
  <si>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</si>
  <si>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</si>
  <si>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</si>
  <si>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</si>
  <si>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</si>
  <si>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</si>
  <si>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</si>
  <si>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</si>
  <si>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</si>
  <si>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</si>
  <si>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</si>
  <si>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</si>
  <si>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</si>
  <si>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</si>
  <si>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</si>
  <si>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</si>
  <si>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</si>
  <si>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</si>
  <si>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</si>
  <si>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</si>
  <si>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</si>
  <si>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</si>
  <si>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</si>
  <si>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</si>
  <si>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</si>
  <si>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</si>
  <si>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</si>
  <si>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</si>
  <si>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</si>
  <si>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</si>
  <si>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</si>
  <si>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</si>
  <si>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</si>
  <si>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</si>
  <si>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</si>
  <si>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</si>
  <si>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</si>
  <si>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</si>
  <si>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</si>
  <si>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</si>
  <si>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</si>
  <si>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</si>
  <si>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</si>
  <si>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</si>
  <si>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</si>
  <si>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</si>
  <si>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</si>
  <si>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</si>
  <si>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</si>
  <si>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</si>
  <si>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</si>
  <si>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</si>
  <si>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</si>
  <si>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</si>
  <si>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</si>
  <si>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</si>
  <si>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</si>
  <si>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</si>
  <si>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</si>
  <si>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</si>
  <si>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</si>
  <si>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</si>
  <si>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</si>
  <si>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</si>
  <si>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</si>
  <si>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</si>
  <si>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</si>
  <si>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</si>
  <si>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</si>
  <si>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</si>
  <si>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</si>
  <si>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</si>
  <si>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</si>
  <si>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</si>
  <si>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</si>
  <si>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</si>
  <si>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</si>
  <si>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</si>
  <si>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</si>
  <si>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</si>
  <si>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</si>
  <si>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</si>
  <si>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</si>
  <si>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</si>
  <si>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</si>
  <si>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</si>
  <si>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</si>
  <si>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</si>
  <si>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</si>
  <si>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</si>
  <si>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</si>
  <si>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</si>
  <si>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</si>
  <si>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</si>
  <si>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</si>
  <si>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</si>
  <si>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</si>
  <si>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</si>
  <si>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</si>
  <si>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</si>
  <si>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</si>
  <si>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</si>
  <si>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</si>
  <si>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</si>
  <si>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</si>
  <si>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</si>
  <si>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</si>
  <si>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</si>
  <si>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</si>
  <si>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</si>
  <si>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</si>
  <si>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</si>
  <si>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</si>
  <si>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</si>
  <si>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</si>
  <si>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</si>
  <si>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</si>
  <si>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</si>
  <si>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</si>
  <si>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</si>
  <si>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</si>
  <si>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</si>
  <si>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</si>
  <si>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</si>
  <si>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</si>
  <si>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</si>
  <si>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</si>
  <si>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</si>
  <si>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</si>
  <si>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</si>
  <si>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</si>
  <si>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</si>
  <si>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</si>
  <si>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</si>
  <si>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</si>
  <si>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</si>
  <si>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</si>
  <si>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</si>
  <si>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</si>
  <si>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</si>
  <si>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</si>
  <si>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</si>
  <si>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</si>
  <si>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</si>
  <si>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</si>
  <si>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</si>
  <si>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</si>
  <si>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</si>
  <si>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</si>
  <si>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</si>
  <si>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</si>
  <si>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</si>
  <si>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</si>
  <si>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</si>
  <si>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</si>
  <si>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</si>
  <si>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</si>
  <si>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</si>
  <si>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</si>
  <si>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</si>
  <si>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</si>
  <si>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</si>
  <si>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</si>
  <si>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Erstatninger</t>
  </si>
  <si>
    <t>Ingen anlægsprojekter</t>
  </si>
  <si>
    <t>Oprensning af bassiner</t>
  </si>
  <si>
    <t>Resultat af kontrol med overholdelse af den økonomiske ramme for 2021</t>
  </si>
  <si>
    <t>Ingen tilknyttet virksomhed under hovedvirksomheden</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</si>
  <si>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</si>
  <si>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</si>
  <si>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</si>
  <si>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</si>
  <si>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</si>
  <si>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</si>
  <si>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</si>
  <si>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</si>
  <si>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</si>
  <si>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Adskillelse, miljøprojekter mm.</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</si>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</sst>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226</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236</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183</v>
      </c>
      <c r="E16" s="99"/>
      <c r="F16" s="99"/>
      <c r="G16" s="100"/>
      <c r="H16" s="5"/>
      <c r="I16" s="1"/>
    </row>
    <row r="17" spans="1:9" x14ac:dyDescent="0.25">
      <c r="A17" s="1"/>
      <c r="B17" s="1"/>
      <c r="C17" s="6" t="s">
        <v>119</v>
      </c>
      <c r="D17" s="98" t="s">
        <v>184</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185</v>
      </c>
      <c r="E22" s="106"/>
      <c r="F22" s="106"/>
      <c r="G22" s="107"/>
      <c r="H22" s="5"/>
      <c r="I22" s="1"/>
    </row>
    <row r="23" spans="1:9" x14ac:dyDescent="0.25">
      <c r="A23" s="1"/>
      <c r="B23" s="1"/>
      <c r="C23" s="6" t="s">
        <v>8</v>
      </c>
      <c r="D23" s="105" t="s">
        <v>254</v>
      </c>
      <c r="E23" s="106"/>
      <c r="F23" s="106"/>
      <c r="G23" s="107"/>
      <c r="H23" s="5"/>
      <c r="I23" s="1"/>
    </row>
    <row r="24" spans="1:9" x14ac:dyDescent="0.25">
      <c r="A24" s="1"/>
      <c r="B24" s="1"/>
      <c r="C24" s="6" t="s">
        <v>9</v>
      </c>
      <c r="D24" s="105" t="s">
        <v>186</v>
      </c>
      <c r="E24" s="106"/>
      <c r="F24" s="106"/>
      <c r="G24" s="107"/>
      <c r="H24" s="5"/>
      <c r="I24" s="1"/>
    </row>
    <row r="25" spans="1:9" x14ac:dyDescent="0.25">
      <c r="A25" s="1"/>
      <c r="B25" s="1"/>
      <c r="C25" s="6" t="s">
        <v>247</v>
      </c>
      <c r="D25" s="105" t="s">
        <v>238</v>
      </c>
      <c r="E25" s="106"/>
      <c r="F25" s="106"/>
      <c r="G25" s="107"/>
      <c r="H25" s="1"/>
      <c r="I25" s="1"/>
    </row>
    <row r="26" spans="1:9" x14ac:dyDescent="0.25">
      <c r="A26" s="1"/>
      <c r="B26" s="1"/>
      <c r="C26" s="6" t="s">
        <v>248</v>
      </c>
      <c r="D26" s="105" t="s">
        <v>84</v>
      </c>
      <c r="E26" s="106"/>
      <c r="F26" s="106"/>
      <c r="G26" s="107"/>
      <c r="H26" s="1"/>
      <c r="I26" s="1"/>
    </row>
    <row r="27" spans="1:9" x14ac:dyDescent="0.25">
      <c r="A27" s="1"/>
      <c r="B27" s="1"/>
      <c r="C27" s="6" t="s">
        <v>249</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250</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t6mBGe2mxpC4LLUKWkm4sSEHsXwpjfX6oQ7Me0W/HsptwxCzPRRPOTwZ8MO40gvqhH8prJFy2D6GQ3xtRH2o+A==" saltValue="XeVoGMpQoecAjIwXxaEQJ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200</v>
      </c>
      <c r="C8" s="128"/>
      <c r="D8" s="129"/>
      <c r="E8" s="1"/>
      <c r="F8" s="1"/>
    </row>
    <row r="9" spans="1:6" ht="15" customHeight="1" x14ac:dyDescent="0.25">
      <c r="A9" s="1"/>
      <c r="B9" s="26" t="s">
        <v>32</v>
      </c>
      <c r="C9" s="58" t="s">
        <v>241</v>
      </c>
      <c r="D9" s="11"/>
      <c r="E9" s="1"/>
      <c r="F9" s="1"/>
    </row>
    <row r="10" spans="1:6" x14ac:dyDescent="0.25">
      <c r="A10" s="1"/>
      <c r="B10" s="94" t="s">
        <v>267</v>
      </c>
      <c r="C10" s="9">
        <v>6580667</v>
      </c>
      <c r="D10" s="14" t="s">
        <v>3</v>
      </c>
      <c r="E10" s="1"/>
      <c r="F10" s="1"/>
    </row>
    <row r="11" spans="1:6" x14ac:dyDescent="0.25">
      <c r="A11" s="1"/>
      <c r="B11" s="94" t="s">
        <v>268</v>
      </c>
      <c r="C11" s="9">
        <v>449160</v>
      </c>
      <c r="D11" s="14" t="s">
        <v>3</v>
      </c>
      <c r="E11" s="1"/>
      <c r="F11" s="1"/>
    </row>
    <row r="12" spans="1:6" x14ac:dyDescent="0.25">
      <c r="A12" s="1"/>
      <c r="B12" s="94" t="s">
        <v>269</v>
      </c>
      <c r="C12" s="9">
        <v>1801762</v>
      </c>
      <c r="D12" s="14" t="s">
        <v>3</v>
      </c>
      <c r="E12" s="1"/>
      <c r="F12" s="1"/>
    </row>
    <row r="13" spans="1:6" x14ac:dyDescent="0.25">
      <c r="A13" s="1"/>
      <c r="B13" s="94" t="s">
        <v>270</v>
      </c>
      <c r="C13" s="9">
        <v>1620479</v>
      </c>
      <c r="D13" s="14" t="s">
        <v>3</v>
      </c>
      <c r="E13" s="1"/>
      <c r="F13" s="1"/>
    </row>
    <row r="14" spans="1:6" x14ac:dyDescent="0.25">
      <c r="A14" s="1"/>
      <c r="B14" s="94" t="s">
        <v>271</v>
      </c>
      <c r="C14" s="9">
        <v>5902752</v>
      </c>
      <c r="D14" s="14" t="s">
        <v>3</v>
      </c>
      <c r="E14" s="1"/>
      <c r="F14" s="1"/>
    </row>
    <row r="15" spans="1:6" x14ac:dyDescent="0.25">
      <c r="A15" s="1"/>
      <c r="B15" s="94" t="s">
        <v>272</v>
      </c>
      <c r="C15" s="9">
        <v>509846</v>
      </c>
      <c r="D15" s="14" t="s">
        <v>3</v>
      </c>
      <c r="E15" s="1"/>
      <c r="F15" s="1"/>
    </row>
    <row r="16" spans="1:6" x14ac:dyDescent="0.25">
      <c r="A16" s="1"/>
      <c r="B16" s="32" t="s">
        <v>201</v>
      </c>
      <c r="C16" s="12">
        <f>SUM(C10:C15)</f>
        <v>16864666</v>
      </c>
      <c r="D16" s="13" t="s">
        <v>3</v>
      </c>
      <c r="E16" s="1"/>
      <c r="F16" s="1"/>
    </row>
    <row r="17" spans="1:6" x14ac:dyDescent="0.25">
      <c r="A17" s="1"/>
      <c r="B17" s="32" t="s">
        <v>202</v>
      </c>
      <c r="C17" s="12">
        <f>C16*(1+'Fane 15. Nøgletal'!C15)^2</f>
        <v>18086803.82230176</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27" t="s">
        <v>117</v>
      </c>
      <c r="C20" s="128"/>
      <c r="D20" s="129"/>
      <c r="E20" s="1"/>
      <c r="F20" s="1"/>
    </row>
    <row r="21" spans="1:6" x14ac:dyDescent="0.25">
      <c r="A21" s="1"/>
      <c r="B21" s="94" t="s">
        <v>99</v>
      </c>
      <c r="C21" s="9">
        <v>5016624</v>
      </c>
      <c r="D21" s="14" t="s">
        <v>3</v>
      </c>
      <c r="E21" s="1"/>
      <c r="F21" s="1"/>
    </row>
    <row r="22" spans="1:6" x14ac:dyDescent="0.25">
      <c r="A22" s="1"/>
      <c r="B22" s="94" t="s">
        <v>129</v>
      </c>
      <c r="C22" s="9">
        <v>5030137</v>
      </c>
      <c r="D22" s="14" t="s">
        <v>3</v>
      </c>
      <c r="E22" s="1"/>
      <c r="F22" s="1"/>
    </row>
    <row r="23" spans="1:6" x14ac:dyDescent="0.25">
      <c r="A23" s="1"/>
      <c r="B23" s="94" t="s">
        <v>155</v>
      </c>
      <c r="C23" s="9">
        <v>5043871</v>
      </c>
      <c r="D23" s="14" t="s">
        <v>3</v>
      </c>
      <c r="E23" s="1"/>
      <c r="F23" s="1"/>
    </row>
    <row r="24" spans="1:6" x14ac:dyDescent="0.25">
      <c r="A24" s="1"/>
      <c r="B24" s="33" t="s">
        <v>203</v>
      </c>
      <c r="C24" s="9">
        <v>5057831</v>
      </c>
      <c r="D24" s="40" t="s">
        <v>3</v>
      </c>
      <c r="E24" s="1"/>
      <c r="F24" s="1"/>
    </row>
    <row r="25" spans="1:6" x14ac:dyDescent="0.25">
      <c r="A25" s="1"/>
      <c r="B25" s="127"/>
      <c r="C25" s="128"/>
      <c r="D25" s="129"/>
      <c r="E25" s="1"/>
      <c r="F25" s="1"/>
    </row>
    <row r="26" spans="1:6" x14ac:dyDescent="0.25">
      <c r="A26" s="1"/>
      <c r="B26" s="1"/>
      <c r="C26" s="1"/>
      <c r="D26" s="1"/>
      <c r="E26" s="1"/>
      <c r="F26" s="1"/>
    </row>
    <row r="27" spans="1:6" x14ac:dyDescent="0.25">
      <c r="A27" s="1"/>
      <c r="B27" s="1"/>
      <c r="C27" s="1"/>
      <c r="D27" s="1"/>
      <c r="E27" s="1"/>
      <c r="F27" s="1"/>
    </row>
    <row r="28" spans="1:6" x14ac:dyDescent="0.25">
      <c r="A28" s="1"/>
      <c r="B28" s="127" t="s">
        <v>98</v>
      </c>
      <c r="C28" s="128"/>
      <c r="D28" s="129"/>
      <c r="E28" s="1"/>
      <c r="F28" s="1"/>
    </row>
    <row r="29" spans="1:6" x14ac:dyDescent="0.25">
      <c r="A29" s="1"/>
      <c r="B29" s="94" t="s">
        <v>99</v>
      </c>
      <c r="C29" s="9">
        <v>0</v>
      </c>
      <c r="D29" s="14" t="s">
        <v>3</v>
      </c>
      <c r="E29" s="1"/>
      <c r="F29" s="1"/>
    </row>
    <row r="30" spans="1:6" x14ac:dyDescent="0.25">
      <c r="A30" s="1"/>
      <c r="B30" s="94" t="s">
        <v>129</v>
      </c>
      <c r="C30" s="9">
        <v>0</v>
      </c>
      <c r="D30" s="14" t="s">
        <v>3</v>
      </c>
      <c r="E30" s="1"/>
      <c r="F30" s="1"/>
    </row>
    <row r="31" spans="1:6" x14ac:dyDescent="0.25">
      <c r="A31" s="1"/>
      <c r="B31" s="94" t="s">
        <v>155</v>
      </c>
      <c r="C31" s="9">
        <v>0</v>
      </c>
      <c r="D31" s="14" t="s">
        <v>3</v>
      </c>
      <c r="E31" s="1"/>
      <c r="F31" s="1"/>
    </row>
    <row r="32" spans="1:6" x14ac:dyDescent="0.25">
      <c r="A32" s="1"/>
      <c r="B32" s="33" t="s">
        <v>203</v>
      </c>
      <c r="C32" s="9">
        <v>0</v>
      </c>
      <c r="D32" s="40" t="s">
        <v>3</v>
      </c>
      <c r="E32" s="1"/>
      <c r="F32" s="1"/>
    </row>
    <row r="33" spans="1:6" x14ac:dyDescent="0.25">
      <c r="A33" s="1"/>
      <c r="B33" s="127"/>
      <c r="C33" s="128"/>
      <c r="D33" s="129"/>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sheetData>
  <sheetProtection algorithmName="SHA-512" hashValue="jyvwaSGJ012CuL5uDzFRHZASxcBaswNZ7Zjc+FgRTTAgzmGOxx4AHu09+I8mMYn0C3XYJOySVeOTBN7jUnd9DQ==" saltValue="kQQXnkTfqtUDy1UtvSuGNw=="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204</v>
      </c>
      <c r="C3" s="135"/>
      <c r="D3" s="135"/>
      <c r="E3" s="135"/>
      <c r="F3" s="135"/>
      <c r="G3" s="1"/>
    </row>
    <row r="4" spans="1:7" ht="15" customHeight="1" x14ac:dyDescent="0.25">
      <c r="A4" s="1"/>
      <c r="B4" s="135"/>
      <c r="C4" s="135"/>
      <c r="D4" s="135"/>
      <c r="E4" s="135"/>
      <c r="F4" s="135"/>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205</v>
      </c>
      <c r="C9" s="138"/>
      <c r="D9" s="139"/>
      <c r="E9" s="9">
        <v>-25506681.554491401</v>
      </c>
      <c r="F9" s="14" t="s">
        <v>3</v>
      </c>
      <c r="G9" s="1"/>
    </row>
    <row r="10" spans="1:7" x14ac:dyDescent="0.25">
      <c r="A10" s="1"/>
      <c r="B10" s="137" t="s">
        <v>264</v>
      </c>
      <c r="C10" s="138"/>
      <c r="D10" s="139"/>
      <c r="E10" s="9">
        <v>-25506681.554491401</v>
      </c>
      <c r="F10" s="14" t="s">
        <v>3</v>
      </c>
      <c r="G10" s="1"/>
    </row>
    <row r="11" spans="1:7" x14ac:dyDescent="0.25">
      <c r="A11" s="1"/>
      <c r="B11" s="32"/>
      <c r="C11" s="27"/>
      <c r="D11" s="27"/>
      <c r="E11" s="27"/>
      <c r="F11" s="19"/>
      <c r="G11" s="1"/>
    </row>
    <row r="12" spans="1:7" ht="67.5" customHeight="1" x14ac:dyDescent="0.25">
      <c r="A12" s="1"/>
      <c r="B12" s="130" t="s">
        <v>265</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287</v>
      </c>
      <c r="C15" s="138"/>
      <c r="D15" s="139"/>
      <c r="E15" s="9">
        <v>-12753340.7772457</v>
      </c>
      <c r="F15" s="14" t="s">
        <v>3</v>
      </c>
      <c r="G15" s="1"/>
    </row>
    <row r="16" spans="1:7" x14ac:dyDescent="0.25">
      <c r="A16" s="1"/>
      <c r="B16" s="137" t="s">
        <v>288</v>
      </c>
      <c r="C16" s="138"/>
      <c r="D16" s="139"/>
      <c r="E16" s="9">
        <v>-12753340.7772457</v>
      </c>
      <c r="F16" s="14" t="s">
        <v>3</v>
      </c>
      <c r="G16" s="1"/>
    </row>
    <row r="17" spans="1:7" x14ac:dyDescent="0.25">
      <c r="A17" s="1"/>
      <c r="B17" s="32"/>
      <c r="C17" s="27"/>
      <c r="D17" s="27"/>
      <c r="E17" s="27"/>
      <c r="F17" s="19"/>
      <c r="G17" s="1"/>
    </row>
    <row r="18" spans="1:7" ht="31.5" customHeight="1" x14ac:dyDescent="0.25">
      <c r="A18" s="1"/>
      <c r="B18" s="130" t="s">
        <v>180</v>
      </c>
      <c r="C18" s="131"/>
      <c r="D18" s="131"/>
      <c r="E18" s="131"/>
      <c r="F18" s="132"/>
      <c r="G18" s="1"/>
    </row>
    <row r="19" spans="1:7" ht="28.5" customHeight="1" x14ac:dyDescent="0.25">
      <c r="A19" s="1"/>
      <c r="B19" s="1"/>
      <c r="C19" s="1"/>
      <c r="D19" s="1"/>
      <c r="E19" s="1"/>
      <c r="F19" s="1"/>
      <c r="G19" s="1"/>
    </row>
    <row r="20" spans="1:7" ht="28.5" customHeight="1" x14ac:dyDescent="0.25">
      <c r="A20" s="1"/>
      <c r="B20" s="85" t="s">
        <v>206</v>
      </c>
      <c r="C20" s="86"/>
      <c r="D20" s="86"/>
      <c r="E20" s="86"/>
      <c r="F20" s="87"/>
      <c r="G20" s="1"/>
    </row>
    <row r="21" spans="1:7" x14ac:dyDescent="0.25">
      <c r="A21" s="1"/>
      <c r="B21" s="91" t="s">
        <v>207</v>
      </c>
      <c r="C21" s="92"/>
      <c r="D21" s="93"/>
      <c r="E21" s="9">
        <v>398142952.01796371</v>
      </c>
      <c r="F21" s="14" t="s">
        <v>3</v>
      </c>
      <c r="G21" s="1"/>
    </row>
    <row r="22" spans="1:7" x14ac:dyDescent="0.25">
      <c r="A22" s="1"/>
      <c r="B22" s="91" t="s">
        <v>208</v>
      </c>
      <c r="C22" s="92"/>
      <c r="D22" s="93"/>
      <c r="E22" s="9">
        <v>433083805</v>
      </c>
      <c r="F22" s="14" t="s">
        <v>3</v>
      </c>
      <c r="G22" s="1"/>
    </row>
    <row r="23" spans="1:7" x14ac:dyDescent="0.25">
      <c r="A23" s="1"/>
      <c r="B23" s="91" t="s">
        <v>33</v>
      </c>
      <c r="C23" s="92"/>
      <c r="D23" s="93"/>
      <c r="E23" s="9">
        <v>0</v>
      </c>
      <c r="F23" s="14" t="s">
        <v>3</v>
      </c>
      <c r="G23" s="1"/>
    </row>
    <row r="24" spans="1:7" x14ac:dyDescent="0.25">
      <c r="A24" s="1"/>
      <c r="B24" s="88" t="s">
        <v>275</v>
      </c>
      <c r="C24" s="89"/>
      <c r="D24" s="96"/>
      <c r="E24" s="72">
        <f>E21-(E22-E23)</f>
        <v>-34940852.982036293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289</v>
      </c>
      <c r="C27" s="128"/>
      <c r="D27" s="128"/>
      <c r="E27" s="128"/>
      <c r="F27" s="129"/>
      <c r="G27" s="1"/>
    </row>
    <row r="28" spans="1:7" x14ac:dyDescent="0.25">
      <c r="A28" s="1"/>
      <c r="B28" s="133" t="s">
        <v>290</v>
      </c>
      <c r="C28" s="134"/>
      <c r="D28" s="154"/>
      <c r="E28" s="73">
        <f>IF(AND(E9&gt;0,(E9+E24)&gt;0),0,IF(AND(E9&gt;0,(E9+E24)&lt;0),0,IF(AND(E9&lt;0,E24&gt;0,E10=0),0,IF(AND(E9&lt;0,E24&gt;0,ABS(E10)&lt;ABS(E24)),ABS(E16),IF(AND(E9&lt;0,E24&gt;0,ABS(E10)&gt;ABS(E24),ABS(E16)&gt;ABS(E24)),-(ABS(E16)-ABS(E24)),IF(AND(E9&lt;0,E24&gt;0,ABS(E10)&gt;ABS(E24),ABS(E16)&lt;ABS(E24)),E24-ABS(E16),IF(AND(E9&lt;0,E24&lt;0),E16,0)))))))</f>
        <v>-12753340.7772457</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266</v>
      </c>
      <c r="C31" s="128"/>
      <c r="D31" s="128"/>
      <c r="E31" s="128"/>
      <c r="F31" s="129"/>
      <c r="G31" s="1"/>
    </row>
    <row r="32" spans="1:7" x14ac:dyDescent="0.25">
      <c r="A32" s="1"/>
      <c r="B32" s="151" t="s">
        <v>143</v>
      </c>
      <c r="C32" s="152"/>
      <c r="D32" s="153"/>
      <c r="E32" s="74">
        <f>IF(AND(E9&gt;0,(E9+E24)&gt;0),0,IF(AND(E9&gt;0,(E9+E24)&lt;0),(E9+E24),IF(AND(E9&lt;0,E24&lt;0),E24,0)))</f>
        <v>-34940852.982036293</v>
      </c>
      <c r="F32" s="14" t="s">
        <v>3</v>
      </c>
      <c r="G32" s="1"/>
    </row>
    <row r="33" spans="1:7" x14ac:dyDescent="0.25">
      <c r="A33" s="1"/>
      <c r="B33" s="151" t="s">
        <v>102</v>
      </c>
      <c r="C33" s="152"/>
      <c r="D33" s="153"/>
      <c r="E33" s="9">
        <v>4</v>
      </c>
      <c r="F33" s="14" t="s">
        <v>20</v>
      </c>
      <c r="G33" s="1"/>
    </row>
    <row r="34" spans="1:7" x14ac:dyDescent="0.25">
      <c r="A34" s="1"/>
      <c r="B34" s="155" t="s">
        <v>144</v>
      </c>
      <c r="C34" s="155"/>
      <c r="D34" s="155"/>
      <c r="E34" s="73">
        <f>E32/E33</f>
        <v>-8735213.2455090731</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sBX0mF71IjqKjhAY12tjShYmWUjQKXj/uWjukJ2VnSBYMmN4oPqo205R69JMVP77m0dmF9k6uIt0cayGxZrD1A==" saltValue="UzgeuirHoZrjDND3xD73jA==" spinCount="100000" sheet="1" objects="1" scenarios="1"/>
  <mergeCells count="17">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 ref="B28:D28"/>
    <mergeCell ref="B31:F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251</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263</v>
      </c>
      <c r="C8" s="128"/>
      <c r="D8" s="128"/>
      <c r="E8" s="128"/>
      <c r="F8" s="128"/>
      <c r="G8" s="128"/>
      <c r="H8" s="129"/>
      <c r="I8" s="1"/>
    </row>
    <row r="9" spans="1:9" ht="15" customHeight="1" x14ac:dyDescent="0.25">
      <c r="A9" s="1"/>
      <c r="B9" s="124" t="s">
        <v>252</v>
      </c>
      <c r="C9" s="125"/>
      <c r="D9" s="125"/>
      <c r="E9" s="125"/>
      <c r="F9" s="125"/>
      <c r="G9" s="125"/>
      <c r="H9" s="126"/>
      <c r="I9" s="1"/>
    </row>
    <row r="10" spans="1:9" x14ac:dyDescent="0.25">
      <c r="A10" s="1"/>
      <c r="B10" s="159" t="s">
        <v>278</v>
      </c>
      <c r="C10" s="160"/>
      <c r="D10" s="160"/>
      <c r="E10" s="160"/>
      <c r="F10" s="161"/>
      <c r="G10" s="9">
        <v>0</v>
      </c>
      <c r="H10" s="9" t="s">
        <v>3</v>
      </c>
      <c r="I10" s="1"/>
    </row>
    <row r="11" spans="1:9" x14ac:dyDescent="0.25">
      <c r="A11" s="1"/>
      <c r="B11" s="159" t="s">
        <v>279</v>
      </c>
      <c r="C11" s="160"/>
      <c r="D11" s="160"/>
      <c r="E11" s="160"/>
      <c r="F11" s="161"/>
      <c r="G11" s="9">
        <v>0</v>
      </c>
      <c r="H11" s="9" t="s">
        <v>3</v>
      </c>
      <c r="I11" s="1"/>
    </row>
    <row r="12" spans="1:9" x14ac:dyDescent="0.25">
      <c r="A12" s="1"/>
      <c r="B12" s="159" t="s">
        <v>280</v>
      </c>
      <c r="C12" s="160"/>
      <c r="D12" s="160"/>
      <c r="E12" s="160"/>
      <c r="F12" s="161"/>
      <c r="G12" s="9">
        <v>0</v>
      </c>
      <c r="H12" s="9" t="s">
        <v>3</v>
      </c>
      <c r="I12" s="1"/>
    </row>
    <row r="13" spans="1:9" x14ac:dyDescent="0.25">
      <c r="A13" s="1"/>
      <c r="B13" s="159" t="s">
        <v>281</v>
      </c>
      <c r="C13" s="160"/>
      <c r="D13" s="160"/>
      <c r="E13" s="160"/>
      <c r="F13" s="161"/>
      <c r="G13" s="9">
        <v>0</v>
      </c>
      <c r="H13" s="9" t="s">
        <v>3</v>
      </c>
      <c r="I13" s="1"/>
    </row>
    <row r="14" spans="1:9" x14ac:dyDescent="0.25">
      <c r="A14" s="1"/>
      <c r="B14" s="159" t="s">
        <v>282</v>
      </c>
      <c r="C14" s="160"/>
      <c r="D14" s="160"/>
      <c r="E14" s="160"/>
      <c r="F14" s="161"/>
      <c r="G14" s="9">
        <v>0</v>
      </c>
      <c r="H14" s="9" t="s">
        <v>3</v>
      </c>
      <c r="I14" s="1"/>
    </row>
    <row r="15" spans="1:9" x14ac:dyDescent="0.25">
      <c r="A15" s="1"/>
      <c r="B15" s="159" t="s">
        <v>283</v>
      </c>
      <c r="C15" s="160"/>
      <c r="D15" s="160"/>
      <c r="E15" s="160"/>
      <c r="F15" s="161"/>
      <c r="G15" s="9">
        <v>0</v>
      </c>
      <c r="H15" s="9" t="s">
        <v>3</v>
      </c>
      <c r="I15" s="1"/>
    </row>
    <row r="16" spans="1:9" x14ac:dyDescent="0.25">
      <c r="A16" s="1"/>
      <c r="B16" s="159" t="s">
        <v>284</v>
      </c>
      <c r="C16" s="160"/>
      <c r="D16" s="160"/>
      <c r="E16" s="160"/>
      <c r="F16" s="161"/>
      <c r="G16" s="9">
        <v>0</v>
      </c>
      <c r="H16" s="9" t="s">
        <v>3</v>
      </c>
      <c r="I16" s="1"/>
    </row>
    <row r="17" spans="1:9" x14ac:dyDescent="0.25">
      <c r="A17" s="1"/>
      <c r="B17" s="159" t="s">
        <v>285</v>
      </c>
      <c r="C17" s="160"/>
      <c r="D17" s="160"/>
      <c r="E17" s="160"/>
      <c r="F17" s="161"/>
      <c r="G17" s="9">
        <v>0</v>
      </c>
      <c r="H17" s="9" t="s">
        <v>3</v>
      </c>
      <c r="I17" s="1"/>
    </row>
    <row r="18" spans="1:9" x14ac:dyDescent="0.25">
      <c r="A18" s="1"/>
      <c r="B18" s="127" t="s">
        <v>253</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JukTOglIUCYdqUSCG5un51N1tQY6tdK99XVGmZO9HhbZe/4yMzyetvJp+1rJOSqX47/WE2ZDhGRFAzFncqfiWQ==" saltValue="hhY1enGGp/KpIDrfZjjQ1A=="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255</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209</v>
      </c>
      <c r="C9" s="128"/>
      <c r="D9" s="128"/>
      <c r="E9" s="128"/>
      <c r="F9" s="129"/>
      <c r="G9" s="1"/>
    </row>
    <row r="10" spans="1:7" x14ac:dyDescent="0.25">
      <c r="A10" s="1"/>
      <c r="B10" s="130" t="s">
        <v>100</v>
      </c>
      <c r="C10" s="131"/>
      <c r="D10" s="132"/>
      <c r="E10" s="7">
        <v>0</v>
      </c>
      <c r="F10" s="8" t="s">
        <v>3</v>
      </c>
      <c r="G10" s="1"/>
    </row>
    <row r="11" spans="1:7" x14ac:dyDescent="0.25">
      <c r="A11" s="1"/>
      <c r="B11" s="137" t="s">
        <v>210</v>
      </c>
      <c r="C11" s="138"/>
      <c r="D11" s="139"/>
      <c r="E11" s="7">
        <v>0</v>
      </c>
      <c r="F11" s="8" t="s">
        <v>3</v>
      </c>
      <c r="G11" s="1"/>
    </row>
    <row r="12" spans="1:7" x14ac:dyDescent="0.25">
      <c r="A12" s="1"/>
      <c r="B12" s="133" t="s">
        <v>101</v>
      </c>
      <c r="C12" s="134"/>
      <c r="D12" s="154"/>
      <c r="E12" s="10">
        <f>E11-E10</f>
        <v>0</v>
      </c>
      <c r="F12" s="11" t="s">
        <v>3</v>
      </c>
      <c r="G12" s="1"/>
    </row>
    <row r="13" spans="1:7" x14ac:dyDescent="0.25">
      <c r="A13" s="1"/>
      <c r="B13" s="127" t="s">
        <v>94</v>
      </c>
      <c r="C13" s="128"/>
      <c r="D13" s="128"/>
      <c r="E13" s="128"/>
      <c r="F13" s="129"/>
      <c r="G13" s="1"/>
    </row>
    <row r="14" spans="1:7" x14ac:dyDescent="0.25">
      <c r="A14" s="1"/>
      <c r="B14" s="137" t="s">
        <v>211</v>
      </c>
      <c r="C14" s="138"/>
      <c r="D14" s="139"/>
      <c r="E14" s="9">
        <v>4990250</v>
      </c>
      <c r="F14" s="8" t="s">
        <v>3</v>
      </c>
      <c r="G14" s="1"/>
    </row>
    <row r="15" spans="1:7" x14ac:dyDescent="0.25">
      <c r="A15" s="1"/>
      <c r="B15" s="130" t="s">
        <v>212</v>
      </c>
      <c r="C15" s="131"/>
      <c r="D15" s="132"/>
      <c r="E15" s="9">
        <v>2863553</v>
      </c>
      <c r="F15" s="8" t="s">
        <v>3</v>
      </c>
      <c r="G15" s="1"/>
    </row>
    <row r="16" spans="1:7" x14ac:dyDescent="0.25">
      <c r="A16" s="1"/>
      <c r="B16" s="133" t="s">
        <v>101</v>
      </c>
      <c r="C16" s="134"/>
      <c r="D16" s="154"/>
      <c r="E16" s="10">
        <f>E15-E14</f>
        <v>-2126697</v>
      </c>
      <c r="F16" s="11" t="s">
        <v>3</v>
      </c>
      <c r="G16" s="1"/>
    </row>
    <row r="17" spans="1:7" x14ac:dyDescent="0.25">
      <c r="A17" s="1"/>
      <c r="B17" s="32" t="s">
        <v>213</v>
      </c>
      <c r="C17" s="27"/>
      <c r="D17" s="27"/>
      <c r="E17" s="12">
        <f>E12+E16</f>
        <v>-2126697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gq3I2UeWWbTjG0leCXk4G9YRbIjj/eHnnytKKjL5oSwZJIorvg2uJvkwYWt9615wP79aySZZkTptkTdETvvJA==" saltValue="VVzqA3DrsLrzbg/xyrHSC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256</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220</v>
      </c>
      <c r="C8" s="128"/>
      <c r="D8" s="128"/>
      <c r="E8" s="128"/>
      <c r="F8" s="128"/>
      <c r="G8" s="128"/>
      <c r="H8" s="128"/>
      <c r="I8" s="128"/>
      <c r="J8" s="128"/>
      <c r="K8" s="129"/>
      <c r="L8" s="1"/>
    </row>
    <row r="9" spans="1:12" ht="39.75" customHeight="1" x14ac:dyDescent="0.25">
      <c r="A9" s="1"/>
      <c r="B9" s="18" t="s">
        <v>0</v>
      </c>
      <c r="C9" s="18" t="s">
        <v>1</v>
      </c>
      <c r="D9" s="162" t="s">
        <v>246</v>
      </c>
      <c r="E9" s="163"/>
      <c r="F9" s="162" t="s">
        <v>2</v>
      </c>
      <c r="G9" s="163"/>
      <c r="H9" s="162" t="s">
        <v>245</v>
      </c>
      <c r="I9" s="163"/>
      <c r="J9" s="162" t="s">
        <v>30</v>
      </c>
      <c r="K9" s="163"/>
      <c r="L9" s="1"/>
    </row>
    <row r="10" spans="1:12" x14ac:dyDescent="0.25">
      <c r="A10" s="1"/>
      <c r="B10" s="97" t="s">
        <v>273</v>
      </c>
      <c r="C10" s="41"/>
      <c r="D10" s="9">
        <v>0</v>
      </c>
      <c r="E10" s="14" t="s">
        <v>3</v>
      </c>
      <c r="F10" s="9">
        <f>IFERROR(D10/C10,0)</f>
        <v>0</v>
      </c>
      <c r="G10" s="14" t="s">
        <v>3</v>
      </c>
      <c r="H10" s="44">
        <v>0</v>
      </c>
      <c r="I10" s="14" t="s">
        <v>3</v>
      </c>
      <c r="J10" s="44">
        <v>0</v>
      </c>
      <c r="K10" s="14" t="s">
        <v>3</v>
      </c>
      <c r="L10" s="1"/>
    </row>
    <row r="11" spans="1:12" x14ac:dyDescent="0.25">
      <c r="A11" s="1"/>
      <c r="B11" s="85" t="s">
        <v>221</v>
      </c>
      <c r="C11" s="86"/>
      <c r="D11" s="87"/>
      <c r="E11" s="87"/>
      <c r="F11" s="12">
        <f>SUM(F10:F10)</f>
        <v>0</v>
      </c>
      <c r="G11" s="12" t="s">
        <v>244</v>
      </c>
      <c r="H11" s="12">
        <f>SUM(H10:H10)</f>
        <v>0</v>
      </c>
      <c r="I11" s="12" t="s">
        <v>244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3Wo7CxnOWxU2S+a4X90EiKVHDOtr0jCH3kUuNQcAEchhoag0CxOf9qRPSCko0A/7hI6VcgzNucgh734PsEwHA==" saltValue="d2L9GMkKEzT0MiqBMrw0K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227</v>
      </c>
      <c r="C10" s="21">
        <f>'Fane 10. Anlægsprojekter (§ 19)'!H11</f>
        <v>0</v>
      </c>
      <c r="D10" s="14" t="s">
        <v>3</v>
      </c>
      <c r="E10" s="9">
        <f>SUM('Fane 10. Anlægsprojekter (§ 19)'!F11,'Fane 10. Anlægsprojekter (§ 19)'!J11)</f>
        <v>0</v>
      </c>
      <c r="F10" s="14" t="s">
        <v>3</v>
      </c>
      <c r="G10" s="1"/>
    </row>
    <row r="11" spans="1:7" x14ac:dyDescent="0.25">
      <c r="A11" s="1"/>
      <c r="B11" s="23" t="s">
        <v>286</v>
      </c>
      <c r="C11" s="21">
        <v>493233</v>
      </c>
      <c r="D11" s="14" t="s">
        <v>3</v>
      </c>
      <c r="E11" s="9">
        <v>2700626</v>
      </c>
      <c r="F11" s="14" t="s">
        <v>3</v>
      </c>
      <c r="G11" s="1"/>
    </row>
    <row r="12" spans="1:7" x14ac:dyDescent="0.25">
      <c r="A12" s="1"/>
      <c r="B12" s="23" t="s">
        <v>277</v>
      </c>
      <c r="C12" s="21">
        <v>833222</v>
      </c>
      <c r="D12" s="14" t="s">
        <v>3</v>
      </c>
      <c r="E12" s="9">
        <v>610331</v>
      </c>
      <c r="F12" s="14" t="s">
        <v>3</v>
      </c>
      <c r="G12" s="1"/>
    </row>
    <row r="13" spans="1:7" x14ac:dyDescent="0.25">
      <c r="A13" s="1"/>
      <c r="B13" s="23" t="s">
        <v>274</v>
      </c>
      <c r="C13" s="21">
        <v>151051</v>
      </c>
      <c r="D13" s="14" t="s">
        <v>3</v>
      </c>
      <c r="E13" s="9">
        <v>0</v>
      </c>
      <c r="F13" s="14" t="s">
        <v>3</v>
      </c>
      <c r="G13" s="1"/>
    </row>
    <row r="14" spans="1:7" x14ac:dyDescent="0.25">
      <c r="A14" s="1"/>
      <c r="B14" s="32" t="s">
        <v>156</v>
      </c>
      <c r="C14" s="12">
        <f>SUM(C10:C13)</f>
        <v>1477506</v>
      </c>
      <c r="D14" s="13" t="s">
        <v>3</v>
      </c>
      <c r="E14" s="12">
        <f>SUM(E10:E13)</f>
        <v>3310957</v>
      </c>
      <c r="F14" s="13" t="s">
        <v>3</v>
      </c>
      <c r="G14" s="1"/>
    </row>
    <row r="15" spans="1:7" x14ac:dyDescent="0.25">
      <c r="A15" s="1"/>
      <c r="B15" s="32" t="s">
        <v>214</v>
      </c>
      <c r="C15" s="12">
        <f>C14*(1+'Fane 15. Nøgletal'!C15)</f>
        <v>1530105.2136000001</v>
      </c>
      <c r="D15" s="13" t="s">
        <v>3</v>
      </c>
      <c r="E15" s="12">
        <f>E14*(1+'Fane 15. Nøgletal'!C15)</f>
        <v>3428827.0692000003</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70JalVLbNdYqJctc+/+/JCT94gIADWW6NudHmm2YmEKc8i+ES4HLQflLrlkiqhGXSyWIjagCmUiptspbqpMr0A==" saltValue="2PKCueVtuCTYKzsOICji5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258</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3" t="s">
        <v>17</v>
      </c>
      <c r="C9" s="83" t="s">
        <v>11</v>
      </c>
      <c r="D9" s="84"/>
      <c r="E9" s="83" t="s">
        <v>31</v>
      </c>
      <c r="F9" s="31"/>
      <c r="G9" s="1"/>
    </row>
    <row r="10" spans="1:7" x14ac:dyDescent="0.25">
      <c r="A10" s="1"/>
      <c r="B10" s="23" t="s">
        <v>274</v>
      </c>
      <c r="C10" s="21">
        <v>1510514</v>
      </c>
      <c r="D10" s="14" t="s">
        <v>3</v>
      </c>
      <c r="E10" s="9">
        <v>0</v>
      </c>
      <c r="F10" s="14" t="s">
        <v>3</v>
      </c>
      <c r="G10" s="1"/>
    </row>
    <row r="11" spans="1:7" x14ac:dyDescent="0.25">
      <c r="A11" s="1"/>
      <c r="B11" s="32" t="s">
        <v>233</v>
      </c>
      <c r="C11" s="12">
        <f>SUM(C10:C10)</f>
        <v>1510514</v>
      </c>
      <c r="D11" s="13" t="s">
        <v>3</v>
      </c>
      <c r="E11" s="12">
        <f>SUM(E10:E10)</f>
        <v>0</v>
      </c>
      <c r="F11" s="13" t="s">
        <v>3</v>
      </c>
      <c r="G11" s="1"/>
    </row>
    <row r="12" spans="1:7" x14ac:dyDescent="0.25">
      <c r="A12" s="1"/>
      <c r="B12" s="32" t="s">
        <v>136</v>
      </c>
      <c r="C12" s="12">
        <f>C11*(1+'Fane 15. Nøgletal'!C15)^2</f>
        <v>1619976.9618230402</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VvZUoHKMkFEI1Go3DidxCMn/po93ogpZHy0y/EX5sj8pIUHKUacZ73oobMlXpDTnKtVsvhOleiGVbjeOELiBQg==" saltValue="OtcdFEiH4NQ5+zKdMJy9e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225</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225</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225</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215</v>
      </c>
      <c r="C27" s="128"/>
      <c r="D27" s="128"/>
      <c r="E27" s="128"/>
      <c r="F27" s="129"/>
      <c r="G27" s="1"/>
    </row>
    <row r="28" spans="1:7" ht="14.25" customHeight="1" x14ac:dyDescent="0.25">
      <c r="A28" s="1"/>
      <c r="B28" s="159" t="s">
        <v>225</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216</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16ptq9U0DfYEoYxHdfoRa6upDpTUPIjwV2HxvnajagCTVYbMPW5sTzInmk57OXgHF0LUGKJihe6ATWrTswQFQ==" saltValue="WoEcuUTDFRVOkmjhbVBam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1.2851562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276</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3Dmh+/A+P/3FeXcOjtPzHgj7TnZ47Zc6Cwlqh/i4sK14/+qhQwve4x68dPmBjojaL5GMG3ID5Y/LFll045qKQ==" saltValue="YwFGpg9Eq1SyWsTCD2zH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261</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235</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WDPkGw3tsW0GKBUyJpi2ZA2Y0qKwXutp/AbhpiA3pXRnNWIV4KFSw/1la3fVfEL7Tg7q1tw9sq+G22CuFV8Mhw==" saltValue="640cBDtGXzo8UeKV7uX9R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90" zoomScaleNormal="100" zoomScalePageLayoutView="9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182</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386094278.3585912</v>
      </c>
      <c r="D9" s="8" t="s">
        <v>3</v>
      </c>
      <c r="E9" s="1"/>
    </row>
    <row r="10" spans="1:5" ht="17.25" customHeight="1" x14ac:dyDescent="0.25">
      <c r="A10" s="1"/>
      <c r="B10" s="82" t="s">
        <v>39</v>
      </c>
      <c r="C10" s="7">
        <f>'Fane 11.1. Varige tillæg'!C15</f>
        <v>1530105.2136000001</v>
      </c>
      <c r="D10" s="8" t="s">
        <v>3</v>
      </c>
      <c r="E10" s="1"/>
    </row>
    <row r="11" spans="1:5" ht="17.25" customHeight="1" x14ac:dyDescent="0.25">
      <c r="A11" s="1"/>
      <c r="B11" s="82" t="s">
        <v>40</v>
      </c>
      <c r="C11" s="9">
        <f>'Fane 11.1. Varige tillæg'!E15</f>
        <v>3428827.0692000003</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1450649.107851031</v>
      </c>
      <c r="D16" s="8" t="s">
        <v>3</v>
      </c>
      <c r="E16" s="1"/>
    </row>
    <row r="17" spans="1:5" ht="17.25" customHeight="1" x14ac:dyDescent="0.25">
      <c r="A17" s="1"/>
      <c r="B17" s="82" t="s">
        <v>10</v>
      </c>
      <c r="C17" s="44">
        <f>-SUM(C9,C10:C16)*'Fane 5. Individuelt eff. krav'!G9</f>
        <v>-648033.07970350888</v>
      </c>
      <c r="D17" s="8" t="s">
        <v>3</v>
      </c>
      <c r="E17" s="1"/>
    </row>
    <row r="18" spans="1:5" ht="17.25" customHeight="1" x14ac:dyDescent="0.25">
      <c r="A18" s="1"/>
      <c r="B18" s="82" t="s">
        <v>24</v>
      </c>
      <c r="C18" s="44">
        <f>-'Fane 4.1. Gen. krav - drift'!G45</f>
        <v>-2574255.7662228337</v>
      </c>
      <c r="D18" s="8" t="s">
        <v>3</v>
      </c>
      <c r="E18" s="1"/>
    </row>
    <row r="19" spans="1:5" ht="17.25" customHeight="1" x14ac:dyDescent="0.25">
      <c r="A19" s="1"/>
      <c r="B19" s="82" t="s">
        <v>25</v>
      </c>
      <c r="C19" s="44">
        <f>-'Fane 4.2. Gen. krav - anlæg'!G43</f>
        <v>-3903902.2289995463</v>
      </c>
      <c r="D19" s="8" t="s">
        <v>3</v>
      </c>
      <c r="E19" s="48"/>
    </row>
    <row r="20" spans="1:5" ht="17.25" customHeight="1" x14ac:dyDescent="0.25">
      <c r="A20" s="1"/>
      <c r="B20" s="88" t="s">
        <v>21</v>
      </c>
      <c r="C20" s="10">
        <f>SUM(C9:C19)</f>
        <v>385377668.67431629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omk.'!C17+'Fane 6. Ikke-påvirkelige omk.'!C21+'Fane 6. Ikke-påvirkelige omk.'!C29</f>
        <v>23103427.82230176</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232</v>
      </c>
      <c r="C26" s="75">
        <f>'Fane 11.2. Engangstillæg'!C12</f>
        <v>1619976.9618230402</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239</v>
      </c>
      <c r="C28" s="75">
        <f>-C26*('Fane 15. Nøgletal'!C31+'Fane 5. Individuelt eff. krav'!G9)</f>
        <v>-35074.159201445604</v>
      </c>
      <c r="D28" s="8" t="s">
        <v>3</v>
      </c>
      <c r="E28" s="1"/>
    </row>
    <row r="29" spans="1:5" ht="15" customHeight="1" x14ac:dyDescent="0.25">
      <c r="A29" s="1"/>
      <c r="B29" s="82" t="s">
        <v>240</v>
      </c>
      <c r="C29" s="75">
        <f>-C27*('Fane 15. Nøgletal'!C26+'Fane 5. Individuelt eff. krav'!G9)</f>
        <v>0</v>
      </c>
      <c r="D29" s="8" t="s">
        <v>3</v>
      </c>
      <c r="E29" s="1"/>
    </row>
    <row r="30" spans="1:5" ht="15" customHeight="1" x14ac:dyDescent="0.25">
      <c r="A30" s="1"/>
      <c r="B30" s="95" t="s">
        <v>87</v>
      </c>
      <c r="C30" s="10">
        <f>SUM(C26:C29)</f>
        <v>1584902.8026215946</v>
      </c>
      <c r="D30" s="11" t="s">
        <v>3</v>
      </c>
      <c r="E30" s="1"/>
    </row>
    <row r="31" spans="1:5" x14ac:dyDescent="0.25">
      <c r="A31" s="1"/>
      <c r="B31" s="32" t="s">
        <v>143</v>
      </c>
      <c r="C31" s="27"/>
      <c r="D31" s="19"/>
      <c r="E31" s="1"/>
    </row>
    <row r="32" spans="1:5" x14ac:dyDescent="0.25">
      <c r="A32" s="1"/>
      <c r="B32" s="30" t="s">
        <v>181</v>
      </c>
      <c r="C32" s="10">
        <f>'Fane 7. Kontrol af ØR2021'!E28</f>
        <v>-12753340.7772457</v>
      </c>
      <c r="D32" s="11" t="s">
        <v>3</v>
      </c>
      <c r="E32" s="1"/>
    </row>
    <row r="33" spans="1:5" ht="15" customHeight="1" x14ac:dyDescent="0.25">
      <c r="A33" s="1"/>
      <c r="B33" s="32" t="s">
        <v>186</v>
      </c>
      <c r="C33" s="27"/>
      <c r="D33" s="19"/>
      <c r="E33" s="1"/>
    </row>
    <row r="34" spans="1:5" x14ac:dyDescent="0.25">
      <c r="A34" s="1"/>
      <c r="B34" s="30" t="s">
        <v>186</v>
      </c>
      <c r="C34" s="10">
        <f>'Fane 9. Korrektion af ØR2021'!E17</f>
        <v>-2126697</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395185961.52199394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nNWAxdlUDnsUiGygbGXWPKY9XLUprxhWht3nujXH8TCjrgX/G88S+iZZZUlOZsZo3F5tHjxYT2oqX7UPaOPIQ==" saltValue="d6KXkD4JRDY/xHm6BqcEt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262</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224</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217</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ijTVOiwidINJABIB3sKjb9yBn6CkexAUIB8+DSkCmqf7EfAfkJ3h8vPEcHc4Mxy509QmM1Ih5F4XxCU1G7GvQ==" saltValue="BOeYUOudZAZ/QYEhVb04C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385377668.67431629</v>
      </c>
      <c r="D9" s="8" t="s">
        <v>3</v>
      </c>
      <c r="E9" s="1"/>
    </row>
    <row r="10" spans="1:5" ht="15" customHeight="1" x14ac:dyDescent="0.25">
      <c r="A10" s="1"/>
      <c r="B10" s="25" t="s">
        <v>19</v>
      </c>
      <c r="C10" s="7">
        <f>SUM(C9:C9)*'Fane 15. Nøgletal'!C15</f>
        <v>13719445.00480566</v>
      </c>
      <c r="D10" s="8" t="s">
        <v>3</v>
      </c>
      <c r="E10" s="1"/>
    </row>
    <row r="11" spans="1:5" ht="15" customHeight="1" x14ac:dyDescent="0.25">
      <c r="A11" s="1"/>
      <c r="B11" s="25" t="s">
        <v>10</v>
      </c>
      <c r="C11" s="9">
        <f>-SUM(C9:C10)*'Fane 5. Individuelt eff. krav'!G9</f>
        <v>-658918.69660464441</v>
      </c>
      <c r="D11" s="8" t="s">
        <v>3</v>
      </c>
      <c r="E11" s="1"/>
    </row>
    <row r="12" spans="1:5" ht="15" customHeight="1" x14ac:dyDescent="0.25">
      <c r="A12" s="1"/>
      <c r="B12" s="25" t="s">
        <v>24</v>
      </c>
      <c r="C12" s="9">
        <f>-'Fane 4.1. Gen. krav - drift'!G53</f>
        <v>-2612581.2860703594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395825613.69644696</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Nøgletal'!C15)+'Fane 6. Ikke-påvirkelige omk.'!C22+'Fane 6. Ikke-påvirkelige omk.'!C30</f>
        <v>23760831.038375705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-8735213.2455090731</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410851231.48931354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iR+4r/VJfMY/wbRiBv22qY7+1zxux5RQYZvd/20uC72VpjFQXgARVDUfuIMJQ4WURPoxTi3STX6bqgqls0aYw==" saltValue="WFHWp6pfPnAYndFYDiNLw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234</v>
      </c>
      <c r="C9" s="7">
        <f>'Fane 2.2. Økonomisk ramme 2024'!C14</f>
        <v>395825613.69644696</v>
      </c>
      <c r="D9" s="8" t="s">
        <v>3</v>
      </c>
      <c r="E9" s="1"/>
    </row>
    <row r="10" spans="1:5" ht="15" customHeight="1" x14ac:dyDescent="0.25">
      <c r="A10" s="1"/>
      <c r="B10" s="25" t="s">
        <v>19</v>
      </c>
      <c r="C10" s="7">
        <f>SUM(C9:C9)*'Fane 15. Nøgletal'!C15</f>
        <v>14091391.847593512</v>
      </c>
      <c r="D10" s="8" t="s">
        <v>3</v>
      </c>
      <c r="E10" s="1"/>
    </row>
    <row r="11" spans="1:5" ht="15" customHeight="1" x14ac:dyDescent="0.25">
      <c r="A11" s="1"/>
      <c r="B11" s="25" t="s">
        <v>10</v>
      </c>
      <c r="C11" s="9">
        <f>-SUM(C9:C10)*'Fane 5. Individuelt eff. krav'!G9</f>
        <v>-676782.59188394574</v>
      </c>
      <c r="D11" s="8" t="s">
        <v>3</v>
      </c>
      <c r="E11" s="1"/>
    </row>
    <row r="12" spans="1:5" ht="15" customHeight="1" x14ac:dyDescent="0.25">
      <c r="A12" s="1"/>
      <c r="B12" s="25" t="s">
        <v>24</v>
      </c>
      <c r="C12" s="9">
        <f>-'Fane 4.1. Gen. krav - drift'!G58</f>
        <v>-2651477.3962573749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406588745.55589908</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Nøgletal'!C15)^2+'Fane 6. Ikke-påvirkelige omk.'!C23+'Fane 6. Ikke-påvirkelige omk.'!C31</f>
        <v>24441377.746141881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-8735213.2455090731</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422294910.05653185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o2I+SQW1aSHeazLNW4mtvNnjSfm+ch5l/W2yd5KhxNmYMLBL/J0Osro8jLv2Oe/Qs9Ah0oqz0Qz85giGV/dnA==" saltValue="BopEoY56ttAz5t1hGVV7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189</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406588745.55589908</v>
      </c>
      <c r="D9" s="8" t="s">
        <v>3</v>
      </c>
      <c r="E9" s="1"/>
    </row>
    <row r="10" spans="1:5" ht="15" customHeight="1" x14ac:dyDescent="0.25">
      <c r="A10" s="1"/>
      <c r="B10" s="25" t="s">
        <v>19</v>
      </c>
      <c r="C10" s="7">
        <f>SUM(C9:C9)*'Fane 15. Nøgletal'!C15</f>
        <v>14474559.341790007</v>
      </c>
      <c r="D10" s="8" t="s">
        <v>3</v>
      </c>
      <c r="E10" s="1"/>
    </row>
    <row r="11" spans="1:5" ht="15" customHeight="1" x14ac:dyDescent="0.25">
      <c r="A11" s="1"/>
      <c r="B11" s="25" t="s">
        <v>10</v>
      </c>
      <c r="C11" s="9">
        <f>-SUM(C9:C10)*'Fane 5. Individuelt eff. krav'!G9</f>
        <v>-695185.39358392602</v>
      </c>
      <c r="D11" s="8" t="s">
        <v>3</v>
      </c>
      <c r="E11" s="1"/>
    </row>
    <row r="12" spans="1:5" ht="15" customHeight="1" x14ac:dyDescent="0.25">
      <c r="A12" s="1"/>
      <c r="B12" s="25" t="s">
        <v>24</v>
      </c>
      <c r="C12" s="9">
        <f>-'Fane 4.1. Gen. krav - drift'!G63</f>
        <v>-2690952.591732855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417677166.91237229</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Nøgletal'!C15)^3+'Fane 6. Ikke-påvirkelige omk.'!C24+'Fane 6. Ikke-påvirkelige omk.'!C32</f>
        <v>25145888.986304533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-8735213.2455090731</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191</v>
      </c>
      <c r="C23" s="12">
        <f>SUM(C14,C16,C18,C20,C22)</f>
        <v>434087842.65316772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038sSN807BkxVPXEnUxRqPoDKUeeDtpX77w1dS5pzj3k3Yjgd11OWFigjhxGNFMpjBUFS2n+SHxSwr/cnLvLw==" saltValue="WtJTBF9AkS5hn5O3JCuZJ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192</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291</v>
      </c>
      <c r="C8" s="27"/>
      <c r="D8" s="27"/>
      <c r="E8" s="27"/>
      <c r="F8" s="19"/>
      <c r="G8" s="1"/>
    </row>
    <row r="9" spans="1:7" ht="15" customHeight="1" x14ac:dyDescent="0.25">
      <c r="A9" s="1"/>
      <c r="B9" s="130" t="s">
        <v>193</v>
      </c>
      <c r="C9" s="131"/>
      <c r="D9" s="132"/>
      <c r="E9" s="7">
        <v>382235594.7179029</v>
      </c>
      <c r="F9" s="8" t="s">
        <v>3</v>
      </c>
      <c r="G9" s="1"/>
    </row>
    <row r="10" spans="1:7" ht="15" customHeight="1" x14ac:dyDescent="0.25">
      <c r="A10" s="1"/>
      <c r="B10" s="121" t="s">
        <v>39</v>
      </c>
      <c r="C10" s="122"/>
      <c r="D10" s="123"/>
      <c r="E10" s="7">
        <v>7017957.0842000004</v>
      </c>
      <c r="F10" s="8" t="s">
        <v>3</v>
      </c>
      <c r="G10" s="1"/>
    </row>
    <row r="11" spans="1:7" ht="15" customHeight="1" x14ac:dyDescent="0.25">
      <c r="A11" s="1"/>
      <c r="B11" s="121" t="s">
        <v>40</v>
      </c>
      <c r="C11" s="122"/>
      <c r="D11" s="123"/>
      <c r="E11" s="9">
        <v>2731921.6888000001</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1293552.0625199797</v>
      </c>
      <c r="F16" s="8" t="s">
        <v>3</v>
      </c>
      <c r="G16" s="1"/>
    </row>
    <row r="17" spans="1:7" ht="15" customHeight="1" x14ac:dyDescent="0.25">
      <c r="A17" s="1"/>
      <c r="B17" s="130" t="s">
        <v>10</v>
      </c>
      <c r="C17" s="131"/>
      <c r="D17" s="132"/>
      <c r="E17" s="9">
        <v>-649312.89662985702</v>
      </c>
      <c r="F17" s="8" t="s">
        <v>3</v>
      </c>
      <c r="G17" s="1"/>
    </row>
    <row r="18" spans="1:7" ht="15" customHeight="1" x14ac:dyDescent="0.25">
      <c r="A18" s="1"/>
      <c r="B18" s="130" t="s">
        <v>24</v>
      </c>
      <c r="C18" s="131"/>
      <c r="D18" s="132"/>
      <c r="E18" s="9">
        <f>-'Fane 4.1. Gen. krav - drift'!G39</f>
        <v>-2585919.7576962863</v>
      </c>
      <c r="F18" s="8" t="s">
        <v>3</v>
      </c>
      <c r="G18" s="1"/>
    </row>
    <row r="19" spans="1:7" ht="15" customHeight="1" x14ac:dyDescent="0.25">
      <c r="A19" s="1"/>
      <c r="B19" s="130" t="s">
        <v>25</v>
      </c>
      <c r="C19" s="131"/>
      <c r="D19" s="132"/>
      <c r="E19" s="9">
        <f>-'Fane 4.2. Gen. krav - anlæg'!G37</f>
        <v>-3949514.5405055182</v>
      </c>
      <c r="F19" s="8" t="s">
        <v>3</v>
      </c>
      <c r="G19" s="1"/>
    </row>
    <row r="20" spans="1:7" ht="15" customHeight="1" x14ac:dyDescent="0.25">
      <c r="A20" s="1"/>
      <c r="B20" s="54" t="s">
        <v>21</v>
      </c>
      <c r="C20" s="89"/>
      <c r="D20" s="96"/>
      <c r="E20" s="51">
        <f>SUM(E9:E19)</f>
        <v>386094278.3585912</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22016030.460174192</v>
      </c>
      <c r="F22" s="11" t="s">
        <v>3</v>
      </c>
      <c r="G22" s="1"/>
    </row>
    <row r="23" spans="1:7" ht="15" customHeight="1" x14ac:dyDescent="0.25">
      <c r="A23" s="1"/>
      <c r="B23" s="127" t="s">
        <v>86</v>
      </c>
      <c r="C23" s="128"/>
      <c r="D23" s="129"/>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504814.1034021877</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f>SUM(E26:E27)</f>
        <v>504814.1034021877</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-12753340.7772457</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-2286169</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219</v>
      </c>
      <c r="C35" s="56"/>
      <c r="D35" s="19"/>
      <c r="E35" s="45">
        <f>SUM(E32,E30,E28,E24,E22,E20,E34)</f>
        <v>393575613.1449219</v>
      </c>
      <c r="F35" s="52" t="s">
        <v>3</v>
      </c>
      <c r="G35" s="1"/>
    </row>
    <row r="36" spans="1:7" ht="27" customHeight="1" x14ac:dyDescent="0.25">
      <c r="A36" s="1"/>
      <c r="B36" s="130" t="s">
        <v>223</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yV926HAblrsH+/TOL7Z2jyz7S40Ng4vOi99k/ZyHY+Oqka73AoQJylytEnkSmUArgvlYtapwe3sPa5a/7f3t8Q==" saltValue="b+1Z9JUV8xOc6Fe7VtoYk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3.28515625" style="2" customWidth="1"/>
    <col min="2" max="5" width="9.140625" style="2"/>
    <col min="6" max="6" width="22" style="2" customWidth="1"/>
    <col min="7" max="7" width="16.28515625" style="2" customWidth="1"/>
    <col min="8" max="8" width="3.42578125" style="2" customWidth="1"/>
    <col min="9" max="9" width="3"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113608124.59852259</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2272162.491970452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113284341.4434168</v>
      </c>
      <c r="H11" s="14" t="s">
        <v>3</v>
      </c>
      <c r="I11" s="1"/>
    </row>
    <row r="12" spans="1:9" ht="15" customHeight="1" x14ac:dyDescent="0.25">
      <c r="A12" s="1"/>
      <c r="B12" s="137" t="s">
        <v>121</v>
      </c>
      <c r="C12" s="138"/>
      <c r="D12" s="138"/>
      <c r="E12" s="138"/>
      <c r="F12" s="139"/>
      <c r="G12" s="77">
        <v>-10265.066454511621</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2265481.5275392458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112951245.25928797</v>
      </c>
      <c r="H19" s="14" t="s">
        <v>3</v>
      </c>
      <c r="I19" s="1"/>
    </row>
    <row r="20" spans="1:9" x14ac:dyDescent="0.25">
      <c r="A20" s="1"/>
      <c r="B20" s="140" t="s">
        <v>47</v>
      </c>
      <c r="C20" s="141"/>
      <c r="D20" s="141"/>
      <c r="E20" s="141"/>
      <c r="F20" s="142"/>
      <c r="G20" s="77">
        <v>2248806.3284404096</v>
      </c>
      <c r="H20" s="14" t="s">
        <v>3</v>
      </c>
      <c r="I20" s="1"/>
    </row>
    <row r="21" spans="1:9" x14ac:dyDescent="0.25">
      <c r="A21" s="1"/>
      <c r="B21" s="137" t="s">
        <v>48</v>
      </c>
      <c r="C21" s="138"/>
      <c r="D21" s="138"/>
      <c r="E21" s="138"/>
      <c r="F21" s="139"/>
      <c r="G21" s="76">
        <f>SUM(G19:G20)*'Fane 15. Nøgletal'!C31</f>
        <v>2304001.0317545678</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115120102.7519265</v>
      </c>
      <c r="H25" s="14" t="s">
        <v>3</v>
      </c>
      <c r="I25" s="1"/>
    </row>
    <row r="26" spans="1:9" x14ac:dyDescent="0.25">
      <c r="A26" s="1"/>
      <c r="B26" s="140" t="s">
        <v>50</v>
      </c>
      <c r="C26" s="141"/>
      <c r="D26" s="141"/>
      <c r="E26" s="141"/>
      <c r="F26" s="142"/>
      <c r="G26" s="77">
        <v>7643985.5070255613</v>
      </c>
      <c r="H26" s="14" t="s">
        <v>3</v>
      </c>
      <c r="I26" s="1"/>
    </row>
    <row r="27" spans="1:9" x14ac:dyDescent="0.25">
      <c r="A27" s="1"/>
      <c r="B27" s="137" t="s">
        <v>51</v>
      </c>
      <c r="C27" s="138"/>
      <c r="D27" s="138"/>
      <c r="E27" s="138"/>
      <c r="F27" s="139"/>
      <c r="G27" s="76">
        <f>(G25+G26)*'Fane 15. Nøgletal'!C31</f>
        <v>2455281.7651790413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122678889.98170035</v>
      </c>
      <c r="H31" s="14" t="s">
        <v>3</v>
      </c>
      <c r="I31" s="1"/>
    </row>
    <row r="32" spans="1:9" x14ac:dyDescent="0.25">
      <c r="A32" s="1"/>
      <c r="B32" s="137" t="s">
        <v>137</v>
      </c>
      <c r="C32" s="138"/>
      <c r="D32" s="138"/>
      <c r="E32" s="138"/>
      <c r="F32" s="139"/>
      <c r="G32" s="76">
        <v>1660658.42919312</v>
      </c>
      <c r="H32" s="14" t="s">
        <v>3</v>
      </c>
      <c r="I32" s="1"/>
    </row>
    <row r="33" spans="1:9" x14ac:dyDescent="0.25">
      <c r="A33" s="1"/>
      <c r="B33" s="137" t="s">
        <v>60</v>
      </c>
      <c r="C33" s="138"/>
      <c r="D33" s="138"/>
      <c r="E33" s="138"/>
      <c r="F33" s="139"/>
      <c r="G33" s="76">
        <f>(G31+G32)*'Fane 15. Nøgletal'!C31</f>
        <v>2486790.9682178693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122254871.54223645</v>
      </c>
      <c r="H37" s="14" t="s">
        <v>3</v>
      </c>
      <c r="I37" s="1"/>
    </row>
    <row r="38" spans="1:9" x14ac:dyDescent="0.25">
      <c r="A38" s="1"/>
      <c r="B38" s="137" t="s">
        <v>164</v>
      </c>
      <c r="C38" s="138"/>
      <c r="D38" s="138"/>
      <c r="E38" s="138"/>
      <c r="F38" s="139"/>
      <c r="G38" s="76">
        <v>7041116.3425778607</v>
      </c>
      <c r="H38" s="14" t="s">
        <v>3</v>
      </c>
      <c r="I38" s="1"/>
    </row>
    <row r="39" spans="1:9" x14ac:dyDescent="0.25">
      <c r="A39" s="1"/>
      <c r="B39" s="137" t="s">
        <v>162</v>
      </c>
      <c r="C39" s="138"/>
      <c r="D39" s="138"/>
      <c r="E39" s="138"/>
      <c r="F39" s="139"/>
      <c r="G39" s="76">
        <f>(G37+G38)*'Fane 15. Nøgletal'!C31</f>
        <v>2585919.7576962863</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229</v>
      </c>
      <c r="C43" s="138"/>
      <c r="D43" s="138"/>
      <c r="E43" s="138"/>
      <c r="F43" s="139"/>
      <c r="G43" s="76">
        <f>(G37+G38-G39)*(1+'Fane 15. Nøgletal'!C14)</f>
        <v>127128211.35193752</v>
      </c>
      <c r="H43" s="14" t="s">
        <v>3</v>
      </c>
      <c r="I43" s="1"/>
    </row>
    <row r="44" spans="1:9" x14ac:dyDescent="0.25">
      <c r="A44" s="1"/>
      <c r="B44" s="143" t="s">
        <v>231</v>
      </c>
      <c r="C44" s="144"/>
      <c r="D44" s="144"/>
      <c r="E44" s="144"/>
      <c r="F44" s="145"/>
      <c r="G44" s="80">
        <f>('Fane 2.1. Økonomisk ramme 2023'!C10+'Fane 2.1. Økonomisk ramme 2023'!C12+'Fane 2.1. Økonomisk ramme 2023'!C14)*(1+'Fane 15. Nøgletal'!C15)</f>
        <v>1584576.9592041601</v>
      </c>
      <c r="H44" s="14" t="s">
        <v>3</v>
      </c>
      <c r="I44" s="1"/>
    </row>
    <row r="45" spans="1:9" x14ac:dyDescent="0.25">
      <c r="A45" s="1"/>
      <c r="B45" s="137" t="s">
        <v>163</v>
      </c>
      <c r="C45" s="138"/>
      <c r="D45" s="138"/>
      <c r="E45" s="138"/>
      <c r="F45" s="139"/>
      <c r="G45" s="76">
        <f>SUM(G43:G44)*'Fane 15. Nøgletal'!C31</f>
        <v>2574255.7662228337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242</v>
      </c>
      <c r="C51" s="128"/>
      <c r="D51" s="128"/>
      <c r="E51" s="128"/>
      <c r="F51" s="128"/>
      <c r="G51" s="136"/>
      <c r="H51" s="129"/>
      <c r="I51" s="1"/>
    </row>
    <row r="52" spans="1:9" x14ac:dyDescent="0.25">
      <c r="A52" s="1"/>
      <c r="B52" s="137" t="s">
        <v>228</v>
      </c>
      <c r="C52" s="138"/>
      <c r="D52" s="138"/>
      <c r="E52" s="138"/>
      <c r="F52" s="139"/>
      <c r="G52" s="76">
        <f>(G43+G44-G45)*(1+'Fane 15. Nøgletal'!C15)</f>
        <v>130629064.30351797</v>
      </c>
      <c r="H52" s="14" t="s">
        <v>3</v>
      </c>
      <c r="I52" s="1"/>
    </row>
    <row r="53" spans="1:9" x14ac:dyDescent="0.25">
      <c r="A53" s="1"/>
      <c r="B53" s="137" t="s">
        <v>138</v>
      </c>
      <c r="C53" s="138"/>
      <c r="D53" s="138"/>
      <c r="E53" s="138"/>
      <c r="F53" s="139"/>
      <c r="G53" s="76">
        <f>(G52)*'Fane 15. Nøgletal'!C31</f>
        <v>2612581.2860703594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132573869.81286874</v>
      </c>
      <c r="H57" s="14" t="s">
        <v>3</v>
      </c>
      <c r="I57" s="1"/>
    </row>
    <row r="58" spans="1:9" x14ac:dyDescent="0.25">
      <c r="A58" s="1"/>
      <c r="B58" s="91" t="s">
        <v>152</v>
      </c>
      <c r="C58" s="92"/>
      <c r="D58" s="92"/>
      <c r="E58" s="92"/>
      <c r="F58" s="93"/>
      <c r="G58" s="76">
        <f>(G57)*'Fane 15. Nøgletal'!C31</f>
        <v>2651477.3962573749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194</v>
      </c>
      <c r="C61" s="128"/>
      <c r="D61" s="128"/>
      <c r="E61" s="128"/>
      <c r="F61" s="128"/>
      <c r="G61" s="136"/>
      <c r="H61" s="129"/>
      <c r="I61" s="1"/>
    </row>
    <row r="62" spans="1:9" x14ac:dyDescent="0.25">
      <c r="A62" s="1"/>
      <c r="B62" s="91" t="s">
        <v>195</v>
      </c>
      <c r="C62" s="92"/>
      <c r="D62" s="92"/>
      <c r="E62" s="92"/>
      <c r="F62" s="93"/>
      <c r="G62" s="76">
        <f>(G57-G58)*(1+'Fane 15. Nøgletal'!C15)</f>
        <v>134547629.58664274</v>
      </c>
      <c r="H62" s="14" t="s">
        <v>3</v>
      </c>
      <c r="I62" s="1"/>
    </row>
    <row r="63" spans="1:9" x14ac:dyDescent="0.25">
      <c r="A63" s="1"/>
      <c r="B63" s="91" t="s">
        <v>196</v>
      </c>
      <c r="C63" s="92"/>
      <c r="D63" s="92"/>
      <c r="E63" s="92"/>
      <c r="F63" s="93"/>
      <c r="G63" s="76">
        <f>(G62)*'Fane 15. Nøgletal'!C31</f>
        <v>2690952.591732855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kh87A9ycBPsgGFepxUDM+uKMjULfF1C924IMZkMuBXpwo75gGNbJo5aXHfUKhj+QlHkR1Rpk2fLfXOoLaIIu8g==" saltValue="Nm8stgxDZkC4xi7ihGAI7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42578125" style="2" customWidth="1"/>
    <col min="2" max="5" width="9.140625" style="2"/>
    <col min="6" max="6" width="28.425781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245120337.71620587</v>
      </c>
      <c r="H5" s="14" t="s">
        <v>3</v>
      </c>
      <c r="I5" s="1"/>
    </row>
    <row r="6" spans="1:9" x14ac:dyDescent="0.25">
      <c r="A6" s="1"/>
      <c r="B6" s="137" t="s">
        <v>57</v>
      </c>
      <c r="C6" s="138"/>
      <c r="D6" s="138"/>
      <c r="E6" s="138"/>
      <c r="F6" s="139"/>
      <c r="G6" s="76">
        <f>G5*'Fane 15. Nøgletal'!C20</f>
        <v>2230595.0732174735</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247140313.13924071</v>
      </c>
      <c r="H10" s="14" t="s">
        <v>3</v>
      </c>
      <c r="I10" s="1"/>
    </row>
    <row r="11" spans="1:9" x14ac:dyDescent="0.25">
      <c r="A11" s="1"/>
      <c r="B11" s="137" t="s">
        <v>122</v>
      </c>
      <c r="C11" s="138"/>
      <c r="D11" s="138"/>
      <c r="E11" s="138"/>
      <c r="F11" s="139"/>
      <c r="G11" s="76">
        <v>3692204.0895872349</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4439735.554950255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250704655.35317057</v>
      </c>
      <c r="H17" s="14" t="s">
        <v>3</v>
      </c>
      <c r="I17" s="1"/>
    </row>
    <row r="18" spans="1:9" x14ac:dyDescent="0.25">
      <c r="A18" s="1"/>
      <c r="B18" s="140" t="s">
        <v>68</v>
      </c>
      <c r="C18" s="141"/>
      <c r="D18" s="141"/>
      <c r="E18" s="141"/>
      <c r="F18" s="142"/>
      <c r="G18" s="76">
        <v>5302594.5318140984</v>
      </c>
      <c r="H18" s="14" t="s">
        <v>3</v>
      </c>
      <c r="I18" s="1"/>
    </row>
    <row r="19" spans="1:9" x14ac:dyDescent="0.25">
      <c r="A19" s="1"/>
      <c r="B19" s="137" t="s">
        <v>69</v>
      </c>
      <c r="C19" s="138"/>
      <c r="D19" s="138"/>
      <c r="E19" s="138"/>
      <c r="F19" s="139"/>
      <c r="G19" s="76">
        <f>G17*'Fane 15. Nøgletal'!C21+G18*'Fane 15. Nøgletal'!C22</f>
        <v>4483604.9721779022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256478660.71758908</v>
      </c>
      <c r="H23" s="14" t="s">
        <v>3</v>
      </c>
      <c r="I23" s="1"/>
    </row>
    <row r="24" spans="1:9" x14ac:dyDescent="0.25">
      <c r="A24" s="1"/>
      <c r="B24" s="140" t="s">
        <v>72</v>
      </c>
      <c r="C24" s="141"/>
      <c r="D24" s="141"/>
      <c r="E24" s="141"/>
      <c r="F24" s="142"/>
      <c r="G24" s="76">
        <v>8030814.7507839901</v>
      </c>
      <c r="H24" s="14" t="s">
        <v>3</v>
      </c>
      <c r="I24" s="1"/>
    </row>
    <row r="25" spans="1:9" x14ac:dyDescent="0.25">
      <c r="A25" s="1"/>
      <c r="B25" s="137" t="s">
        <v>73</v>
      </c>
      <c r="C25" s="138"/>
      <c r="D25" s="138"/>
      <c r="E25" s="138"/>
      <c r="F25" s="139"/>
      <c r="G25" s="76">
        <f>(G23+G24)*'Fane 15. Nøgletal'!C23</f>
        <v>7512069.1033017952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262060255.2704632</v>
      </c>
      <c r="H29" s="14" t="s">
        <v>3</v>
      </c>
      <c r="I29" s="1"/>
    </row>
    <row r="30" spans="1:9" x14ac:dyDescent="0.25">
      <c r="A30" s="1"/>
      <c r="B30" s="137" t="s">
        <v>139</v>
      </c>
      <c r="C30" s="138"/>
      <c r="D30" s="138"/>
      <c r="E30" s="138"/>
      <c r="F30" s="139"/>
      <c r="G30" s="76">
        <v>8875770.0803528391</v>
      </c>
      <c r="H30" s="14" t="s">
        <v>3</v>
      </c>
      <c r="I30" s="1"/>
    </row>
    <row r="31" spans="1:9" x14ac:dyDescent="0.25">
      <c r="A31" s="1"/>
      <c r="B31" s="137" t="s">
        <v>76</v>
      </c>
      <c r="C31" s="138"/>
      <c r="D31" s="138"/>
      <c r="E31" s="138"/>
      <c r="F31" s="139"/>
      <c r="G31" s="76">
        <f>G29*'Fane 15. Nøgletal'!C23+G30*'Fane 15. Nøgletal'!C24</f>
        <v>7686594.9268908584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264118153.54432413</v>
      </c>
      <c r="H35" s="14" t="s">
        <v>3</v>
      </c>
      <c r="I35" s="1"/>
    </row>
    <row r="36" spans="1:9" x14ac:dyDescent="0.25">
      <c r="A36" s="1"/>
      <c r="B36" s="137" t="s">
        <v>167</v>
      </c>
      <c r="C36" s="138"/>
      <c r="D36" s="138"/>
      <c r="E36" s="138"/>
      <c r="F36" s="139"/>
      <c r="G36" s="76">
        <v>2740937.0303730401</v>
      </c>
      <c r="H36" s="14" t="s">
        <v>3</v>
      </c>
      <c r="I36" s="1"/>
    </row>
    <row r="37" spans="1:9" x14ac:dyDescent="0.25">
      <c r="A37" s="1"/>
      <c r="B37" s="137" t="s">
        <v>166</v>
      </c>
      <c r="C37" s="138"/>
      <c r="D37" s="138"/>
      <c r="E37" s="138"/>
      <c r="F37" s="139"/>
      <c r="G37" s="76">
        <f>(G35+G36)*'Fane 15. Nøgletal'!C25</f>
        <v>3949514.5405055182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222</v>
      </c>
      <c r="C40" s="128"/>
      <c r="D40" s="128"/>
      <c r="E40" s="128"/>
      <c r="F40" s="128"/>
      <c r="G40" s="136"/>
      <c r="H40" s="129"/>
      <c r="I40" s="1"/>
    </row>
    <row r="41" spans="1:9" x14ac:dyDescent="0.25">
      <c r="A41" s="1"/>
      <c r="B41" s="137" t="s">
        <v>77</v>
      </c>
      <c r="C41" s="138"/>
      <c r="D41" s="138"/>
      <c r="E41" s="138"/>
      <c r="F41" s="139"/>
      <c r="G41" s="76">
        <f>(G35+G36-G37)*(1+'Fane 15. Nøgletal'!C14)</f>
        <v>263777177.63510448</v>
      </c>
      <c r="H41" s="14" t="s">
        <v>3</v>
      </c>
      <c r="I41" s="1"/>
    </row>
    <row r="42" spans="1:9" x14ac:dyDescent="0.25">
      <c r="A42" s="1"/>
      <c r="B42" s="43" t="s">
        <v>230</v>
      </c>
      <c r="C42" s="92"/>
      <c r="D42" s="92"/>
      <c r="E42" s="92"/>
      <c r="F42" s="93"/>
      <c r="G42" s="80">
        <f>('Fane 2.1. Økonomisk ramme 2023'!C11+'Fane 2.1. Økonomisk ramme 2023'!C13+'Fane 2.1. Økonomisk ramme 2023'!C15)*(1+'Fane 15. Nøgletal'!C15)</f>
        <v>3550893.3128635203</v>
      </c>
      <c r="H42" s="14" t="s">
        <v>3</v>
      </c>
      <c r="I42" s="1"/>
    </row>
    <row r="43" spans="1:9" x14ac:dyDescent="0.25">
      <c r="A43" s="1"/>
      <c r="B43" s="137" t="s">
        <v>168</v>
      </c>
      <c r="C43" s="138"/>
      <c r="D43" s="138"/>
      <c r="E43" s="138"/>
      <c r="F43" s="139"/>
      <c r="G43" s="76">
        <f>(G41)*'Fane 15. Nøgletal'!C25+G42*'Fane 15. Nøgletal'!C26</f>
        <v>3903902.2289995463</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243</v>
      </c>
      <c r="C52" s="128"/>
      <c r="D52" s="128"/>
      <c r="E52" s="128"/>
      <c r="F52" s="128"/>
      <c r="G52" s="136"/>
      <c r="H52" s="129"/>
      <c r="I52" s="1"/>
    </row>
    <row r="53" spans="1:9" x14ac:dyDescent="0.25">
      <c r="A53" s="1"/>
      <c r="B53" s="137" t="s">
        <v>140</v>
      </c>
      <c r="C53" s="138"/>
      <c r="D53" s="138"/>
      <c r="E53" s="138"/>
      <c r="F53" s="139"/>
      <c r="G53" s="76">
        <f>(G41+G42-G43)*(1+'Fane 15. Nøgletal'!C15)</f>
        <v>272802069.12536377</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282513822.78622675</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197</v>
      </c>
      <c r="C62" s="128"/>
      <c r="D62" s="128"/>
      <c r="E62" s="128"/>
      <c r="F62" s="128"/>
      <c r="G62" s="136"/>
      <c r="H62" s="129"/>
      <c r="I62" s="1"/>
    </row>
    <row r="63" spans="1:9" x14ac:dyDescent="0.25">
      <c r="A63" s="1"/>
      <c r="B63" s="137" t="s">
        <v>198</v>
      </c>
      <c r="C63" s="138"/>
      <c r="D63" s="138"/>
      <c r="E63" s="138"/>
      <c r="F63" s="139"/>
      <c r="G63" s="76">
        <f>(G58-G59)*(1+'Fane 15. Nøgletal'!C15)</f>
        <v>292571314.87741643</v>
      </c>
      <c r="H63" s="14" t="s">
        <v>3</v>
      </c>
      <c r="I63" s="1"/>
    </row>
    <row r="64" spans="1:9" x14ac:dyDescent="0.25">
      <c r="A64" s="1"/>
      <c r="B64" s="137" t="s">
        <v>199</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pEN5WBGc33nOptj0mer/L/Q4DqBwCcYQNggwC9Bocvo8tFHp9Zq3MrQJfAC9kk4xP+r8rTc6k+/vubcgOBlBJA==" saltValue="NWXzlC8LyRx8AN30vJ78n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1.6510234577502396E-3</v>
      </c>
      <c r="H9" s="1"/>
    </row>
    <row r="10" spans="1:8" x14ac:dyDescent="0.25">
      <c r="A10" s="1"/>
      <c r="B10" s="32"/>
      <c r="C10" s="27"/>
      <c r="D10" s="27"/>
      <c r="E10" s="27"/>
      <c r="F10" s="27"/>
      <c r="G10" s="19"/>
      <c r="H10" s="1"/>
    </row>
    <row r="11" spans="1:8" ht="29.25" customHeight="1" x14ac:dyDescent="0.25">
      <c r="A11" s="1"/>
      <c r="B11" s="148" t="s">
        <v>237</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Sjkc1J5HTvpKyYX/LV5pi4YXoN+XCjWkddt42X2Iz1QFLRLcLQYwmxG8Bi5gF5eED4kJXPdPO1c5uBI57E7Muw==" saltValue="7H4Zt5TLyuC3P0G1cN8JS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2022-12-01T08:25:01Z</dcterms:modified>
</cp:coreProperties>
</file>