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Køge Afløb AS (S059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4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2" i="37" s="1"/>
  <c r="C13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2" i="37" s="1"/>
  <c r="E13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27" i="22"/>
  <c r="C13" i="23" l="1"/>
  <c r="C16" i="23" s="1"/>
  <c r="C27" i="23" s="1"/>
</calcChain>
</file>

<file path=xl/sharedStrings.xml><?xml version="1.0" encoding="utf-8"?>
<sst xmlns="http://schemas.openxmlformats.org/spreadsheetml/2006/main" count="707" uniqueCount="286">
  <si>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</si>
  <si>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</si>
  <si>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</si>
  <si>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</si>
  <si>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</si>
  <si>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</si>
  <si>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</si>
  <si>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</si>
  <si>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</si>
  <si>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</si>
  <si>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</si>
  <si>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</si>
  <si>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</si>
  <si>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</si>
  <si>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</si>
  <si>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</si>
  <si>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</si>
  <si>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</si>
  <si>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</si>
  <si>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</si>
  <si>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</si>
  <si>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</si>
  <si>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</si>
  <si>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</si>
  <si>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</si>
  <si>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</si>
  <si>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</si>
  <si>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</si>
  <si>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</si>
  <si>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</si>
  <si>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</si>
  <si>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</si>
  <si>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</si>
  <si>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</si>
  <si>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</si>
  <si>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</si>
  <si>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</si>
  <si>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</si>
  <si>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</si>
  <si>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</si>
  <si>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</si>
  <si>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</si>
  <si>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</si>
  <si>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</si>
  <si>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</si>
  <si>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</si>
  <si>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</si>
  <si>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</si>
  <si>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</si>
  <si>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</si>
  <si>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</si>
  <si>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</si>
  <si>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</si>
  <si>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</si>
  <si>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</si>
  <si>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</si>
  <si>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</si>
  <si>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</si>
  <si>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</si>
  <si>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</si>
  <si>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</si>
  <si>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</si>
  <si>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</si>
  <si>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</si>
  <si>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</si>
  <si>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</si>
  <si>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</si>
  <si>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</si>
  <si>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</si>
  <si>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</si>
  <si>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</si>
  <si>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</si>
  <si>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</si>
  <si>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</si>
  <si>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</si>
  <si>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</si>
  <si>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</si>
  <si>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</si>
  <si>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</si>
  <si>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</si>
  <si>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</si>
  <si>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</si>
  <si>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</si>
  <si>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</si>
  <si>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</si>
  <si>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</si>
  <si>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</si>
  <si>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</si>
  <si>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</si>
  <si>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</si>
  <si>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</si>
  <si>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</si>
  <si>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</si>
  <si>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</si>
  <si>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</si>
  <si>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</si>
  <si>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</si>
  <si>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</si>
  <si>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</si>
  <si>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</si>
  <si>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</si>
  <si>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</si>
  <si>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</si>
  <si>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</si>
  <si>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</si>
  <si>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</si>
  <si>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</si>
  <si>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</si>
  <si>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</si>
  <si>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</si>
  <si>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</si>
  <si>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</si>
  <si>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</si>
  <si>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</si>
  <si>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</si>
  <si>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</si>
  <si>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</si>
  <si>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</si>
  <si>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</si>
  <si>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</si>
  <si>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</si>
  <si>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</si>
  <si>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</si>
  <si>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</si>
  <si>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</si>
  <si>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</si>
  <si>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</si>
  <si>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</si>
  <si>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</si>
  <si>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</si>
  <si>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</si>
  <si>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</si>
  <si>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</si>
  <si>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</si>
  <si>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</si>
  <si>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</si>
  <si>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</si>
  <si>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</si>
  <si>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</si>
  <si>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</si>
  <si>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</si>
  <si>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</si>
  <si>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</si>
  <si>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</si>
  <si>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</si>
  <si>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</si>
  <si>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</si>
  <si>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</si>
  <si>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</si>
  <si>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</si>
  <si>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</si>
  <si>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</si>
  <si>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</si>
  <si>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</si>
  <si>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</si>
  <si>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</si>
  <si>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</si>
  <si>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</si>
  <si>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</si>
  <si>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</si>
  <si>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</si>
  <si>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</si>
  <si>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</si>
  <si>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</si>
  <si>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</si>
  <si>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</si>
  <si>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</si>
  <si>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</si>
  <si>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</si>
  <si>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</si>
  <si>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</si>
  <si>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</si>
  <si>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</si>
  <si>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</si>
  <si>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</si>
  <si>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</si>
  <si>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</si>
  <si>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</si>
  <si>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</si>
  <si>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</si>
  <si>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</si>
  <si>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</si>
  <si>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</si>
  <si>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</si>
  <si>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</si>
  <si>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</si>
  <si>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</si>
  <si>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</si>
  <si>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</si>
  <si>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</si>
  <si>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</si>
  <si>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</si>
  <si>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</si>
  <si>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</si>
  <si>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</si>
  <si>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</si>
  <si>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</si>
  <si>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</si>
  <si>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</si>
  <si>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</si>
  <si>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</si>
  <si>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</si>
  <si>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</si>
  <si>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</si>
  <si>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</si>
  <si>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</si>
  <si>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</si>
  <si>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</si>
  <si>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</si>
  <si>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</si>
  <si>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</si>
  <si>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</si>
  <si>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</si>
  <si>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</si>
  <si>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</si>
  <si>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</si>
  <si>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</si>
  <si>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</si>
  <si>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</si>
  <si>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</si>
  <si>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</si>
  <si>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</si>
  <si>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</si>
  <si>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</si>
  <si>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</si>
  <si>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</si>
  <si>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</si>
  <si>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</si>
  <si>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</si>
  <si>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</si>
  <si>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</si>
  <si>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</si>
  <si>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</si>
  <si>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</si>
  <si>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</si>
  <si>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</si>
  <si>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</si>
  <si>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</si>
  <si>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</si>
  <si>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</si>
  <si>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</si>
  <si>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</si>
  <si>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</si>
  <si>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</si>
  <si>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</si>
  <si>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</si>
  <si>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</si>
  <si>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</si>
  <si>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</si>
  <si>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</si>
  <si>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</si>
  <si>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</si>
  <si>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</si>
  <si>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</si>
  <si>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</si>
  <si>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</si>
  <si>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</si>
  <si>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</si>
  <si>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</si>
  <si>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</si>
  <si>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</si>
  <si>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</si>
  <si>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</si>
  <si>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</si>
  <si>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</si>
  <si>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</si>
  <si>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</si>
  <si>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</si>
  <si>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</si>
  <si>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</si>
  <si>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</si>
  <si>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</si>
  <si>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</si>
  <si>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</si>
  <si>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</si>
  <si>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</si>
  <si>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</si>
  <si>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</si>
  <si>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</si>
  <si>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Byggemodninger m.v.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</si>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</sst>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81" t="s">
        <v>284</v>
      </c>
      <c r="E8" s="81"/>
      <c r="F8" s="81"/>
      <c r="G8" s="8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0" t="s">
        <v>5</v>
      </c>
      <c r="E11" s="80"/>
      <c r="F11" s="80"/>
      <c r="G11" s="8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245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17</v>
      </c>
      <c r="D14" s="70" t="s">
        <v>246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37</v>
      </c>
      <c r="D15" s="70" t="s">
        <v>160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38</v>
      </c>
      <c r="D16" s="70" t="s">
        <v>247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144</v>
      </c>
      <c r="D17" s="70" t="s">
        <v>248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124</v>
      </c>
      <c r="D18" s="82" t="s">
        <v>110</v>
      </c>
      <c r="E18" s="83"/>
      <c r="F18" s="83"/>
      <c r="G18" s="84"/>
      <c r="H18" s="1"/>
      <c r="I18" s="1"/>
    </row>
    <row r="19" spans="1:9" x14ac:dyDescent="0.25">
      <c r="A19" s="1"/>
      <c r="B19" s="1"/>
      <c r="C19" s="6" t="s">
        <v>125</v>
      </c>
      <c r="D19" s="82" t="s">
        <v>111</v>
      </c>
      <c r="E19" s="83"/>
      <c r="F19" s="83"/>
      <c r="G19" s="84"/>
      <c r="H19" s="1"/>
      <c r="I19" s="1"/>
    </row>
    <row r="20" spans="1:9" x14ac:dyDescent="0.25">
      <c r="A20" s="1"/>
      <c r="B20" s="1"/>
      <c r="C20" s="6" t="s">
        <v>7</v>
      </c>
      <c r="D20" s="82" t="s">
        <v>10</v>
      </c>
      <c r="E20" s="83"/>
      <c r="F20" s="83"/>
      <c r="G20" s="84"/>
      <c r="H20" s="1"/>
      <c r="I20" s="1"/>
    </row>
    <row r="21" spans="1:9" x14ac:dyDescent="0.25">
      <c r="A21" s="1"/>
      <c r="B21" s="1"/>
      <c r="C21" s="6" t="s">
        <v>126</v>
      </c>
      <c r="D21" s="74" t="s">
        <v>13</v>
      </c>
      <c r="E21" s="75"/>
      <c r="F21" s="75"/>
      <c r="G21" s="76"/>
      <c r="H21" s="1"/>
      <c r="I21" s="1"/>
    </row>
    <row r="22" spans="1:9" x14ac:dyDescent="0.25">
      <c r="A22" s="1"/>
      <c r="B22" s="1"/>
      <c r="C22" s="6" t="s">
        <v>91</v>
      </c>
      <c r="D22" s="77" t="s">
        <v>249</v>
      </c>
      <c r="E22" s="78"/>
      <c r="F22" s="78"/>
      <c r="G22" s="79"/>
      <c r="H22" s="1"/>
      <c r="I22" s="1"/>
    </row>
    <row r="23" spans="1:9" x14ac:dyDescent="0.25">
      <c r="A23" s="1"/>
      <c r="B23" s="1"/>
      <c r="C23" s="6" t="s">
        <v>8</v>
      </c>
      <c r="D23" s="77" t="s">
        <v>195</v>
      </c>
      <c r="E23" s="78"/>
      <c r="F23" s="78"/>
      <c r="G23" s="79"/>
      <c r="H23" s="1"/>
      <c r="I23" s="1"/>
    </row>
    <row r="24" spans="1:9" x14ac:dyDescent="0.25">
      <c r="A24" s="1"/>
      <c r="B24" s="1"/>
      <c r="C24" s="6" t="s">
        <v>9</v>
      </c>
      <c r="D24" s="77" t="s">
        <v>39</v>
      </c>
      <c r="E24" s="78"/>
      <c r="F24" s="78"/>
      <c r="G24" s="79"/>
      <c r="H24" s="1"/>
      <c r="I24" s="1"/>
    </row>
    <row r="25" spans="1:9" x14ac:dyDescent="0.25">
      <c r="A25" s="1"/>
      <c r="B25" s="1"/>
      <c r="C25" s="6" t="s">
        <v>127</v>
      </c>
      <c r="D25" s="77" t="s">
        <v>92</v>
      </c>
      <c r="E25" s="78"/>
      <c r="F25" s="78"/>
      <c r="G25" s="79"/>
      <c r="H25" s="1"/>
      <c r="I25" s="1"/>
    </row>
    <row r="26" spans="1:9" x14ac:dyDescent="0.25">
      <c r="A26" s="1"/>
      <c r="B26" s="1"/>
      <c r="C26" s="6" t="s">
        <v>128</v>
      </c>
      <c r="D26" s="77" t="s">
        <v>93</v>
      </c>
      <c r="E26" s="78"/>
      <c r="F26" s="78"/>
      <c r="G26" s="79"/>
      <c r="H26" s="1"/>
      <c r="I26" s="1"/>
    </row>
    <row r="27" spans="1:9" x14ac:dyDescent="0.25">
      <c r="A27" s="1"/>
      <c r="B27" s="1"/>
      <c r="C27" s="6" t="s">
        <v>129</v>
      </c>
      <c r="D27" s="77" t="s">
        <v>94</v>
      </c>
      <c r="E27" s="78"/>
      <c r="F27" s="78"/>
      <c r="G27" s="79"/>
      <c r="H27" s="1"/>
      <c r="I27" s="1"/>
    </row>
    <row r="28" spans="1:9" x14ac:dyDescent="0.25">
      <c r="A28" s="1"/>
      <c r="B28" s="1"/>
      <c r="C28" s="6" t="s">
        <v>16</v>
      </c>
      <c r="D28" s="77" t="s">
        <v>161</v>
      </c>
      <c r="E28" s="78"/>
      <c r="F28" s="78"/>
      <c r="G28" s="79"/>
      <c r="H28" s="1"/>
      <c r="I28" s="1"/>
    </row>
    <row r="29" spans="1:9" x14ac:dyDescent="0.25">
      <c r="A29" s="1"/>
      <c r="B29" s="1"/>
      <c r="C29" s="6" t="s">
        <v>41</v>
      </c>
      <c r="D29" s="77" t="s">
        <v>40</v>
      </c>
      <c r="E29" s="78"/>
      <c r="F29" s="78"/>
      <c r="G29" s="79"/>
      <c r="H29" s="1"/>
      <c r="I29" s="1"/>
    </row>
    <row r="30" spans="1:9" x14ac:dyDescent="0.25">
      <c r="A30" s="1"/>
      <c r="B30" s="1"/>
      <c r="C30" s="6" t="s">
        <v>42</v>
      </c>
      <c r="D30" s="85" t="s">
        <v>123</v>
      </c>
      <c r="E30" s="86"/>
      <c r="F30" s="86"/>
      <c r="G30" s="87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xVcJNppWs3Yt50E3E3jYEC3ZKmdj3CNtCrXDyvKyPFXpYaSq6ExcSQwOqky/7pvFWXgAlWc0mL28/z4pTCIoA==" saltValue="tNHJmUrALmV+S3R/2CGiV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8" t="s">
        <v>132</v>
      </c>
      <c r="C3" s="88"/>
      <c r="D3" s="88"/>
      <c r="E3" s="1"/>
      <c r="F3" s="1"/>
    </row>
    <row r="4" spans="1:6" ht="15" customHeight="1" x14ac:dyDescent="0.25">
      <c r="A4" s="1"/>
      <c r="B4" s="88"/>
      <c r="C4" s="88"/>
      <c r="D4" s="8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208</v>
      </c>
      <c r="C8" s="97"/>
      <c r="D8" s="98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3" t="s">
        <v>262</v>
      </c>
      <c r="C10" s="9">
        <v>1199796</v>
      </c>
      <c r="D10" s="14" t="s">
        <v>3</v>
      </c>
      <c r="E10" s="1"/>
      <c r="F10" s="1"/>
    </row>
    <row r="11" spans="1:6" x14ac:dyDescent="0.25">
      <c r="A11" s="1"/>
      <c r="B11" s="63" t="s">
        <v>263</v>
      </c>
      <c r="C11" s="9">
        <v>88994</v>
      </c>
      <c r="D11" s="14" t="s">
        <v>3</v>
      </c>
      <c r="E11" s="1"/>
      <c r="F11" s="1"/>
    </row>
    <row r="12" spans="1:6" x14ac:dyDescent="0.25">
      <c r="A12" s="1"/>
      <c r="B12" s="63" t="s">
        <v>264</v>
      </c>
      <c r="C12" s="9">
        <v>69300</v>
      </c>
      <c r="D12" s="14" t="s">
        <v>3</v>
      </c>
      <c r="E12" s="1"/>
      <c r="F12" s="1"/>
    </row>
    <row r="13" spans="1:6" x14ac:dyDescent="0.25">
      <c r="A13" s="1"/>
      <c r="B13" s="63" t="s">
        <v>265</v>
      </c>
      <c r="C13" s="9">
        <v>577923</v>
      </c>
      <c r="D13" s="14" t="s">
        <v>3</v>
      </c>
      <c r="E13" s="1"/>
      <c r="F13" s="1"/>
    </row>
    <row r="14" spans="1:6" x14ac:dyDescent="0.25">
      <c r="A14" s="1"/>
      <c r="B14" s="38" t="s">
        <v>209</v>
      </c>
      <c r="C14" s="12">
        <f>SUM(C10:C13)</f>
        <v>1936013</v>
      </c>
      <c r="D14" s="13" t="s">
        <v>3</v>
      </c>
      <c r="E14" s="1"/>
      <c r="F14" s="1"/>
    </row>
    <row r="15" spans="1:6" x14ac:dyDescent="0.25">
      <c r="A15" s="1"/>
      <c r="B15" s="38" t="s">
        <v>210</v>
      </c>
      <c r="C15" s="12">
        <f>C14*(1+'Fane 14. Nøgletal'!C14)^2</f>
        <v>1948811.7689815704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6" t="s">
        <v>142</v>
      </c>
      <c r="C18" s="97"/>
      <c r="D18" s="98"/>
      <c r="E18" s="1"/>
      <c r="F18" s="1"/>
    </row>
    <row r="19" spans="1:6" x14ac:dyDescent="0.25">
      <c r="A19" s="1"/>
      <c r="B19" s="63" t="s">
        <v>116</v>
      </c>
      <c r="C19" s="9">
        <v>157230</v>
      </c>
      <c r="D19" s="14" t="s">
        <v>3</v>
      </c>
      <c r="E19" s="1"/>
      <c r="F19" s="1"/>
    </row>
    <row r="20" spans="1:6" x14ac:dyDescent="0.25">
      <c r="A20" s="1"/>
      <c r="B20" s="63" t="s">
        <v>117</v>
      </c>
      <c r="C20" s="9">
        <v>157230</v>
      </c>
      <c r="D20" s="14" t="s">
        <v>3</v>
      </c>
      <c r="E20" s="1"/>
      <c r="F20" s="1"/>
    </row>
    <row r="21" spans="1:6" x14ac:dyDescent="0.25">
      <c r="A21" s="1"/>
      <c r="B21" s="63" t="s">
        <v>154</v>
      </c>
      <c r="C21" s="9">
        <v>157230</v>
      </c>
      <c r="D21" s="14" t="s">
        <v>3</v>
      </c>
      <c r="E21" s="1"/>
      <c r="F21" s="1"/>
    </row>
    <row r="22" spans="1:6" x14ac:dyDescent="0.25">
      <c r="A22" s="1"/>
      <c r="B22" s="63" t="s">
        <v>211</v>
      </c>
      <c r="C22" s="9">
        <v>157230</v>
      </c>
      <c r="D22" s="14" t="s">
        <v>3</v>
      </c>
      <c r="E22" s="1"/>
      <c r="F22" s="1"/>
    </row>
    <row r="23" spans="1:6" x14ac:dyDescent="0.25">
      <c r="A23" s="1"/>
      <c r="B23" s="96"/>
      <c r="C23" s="97"/>
      <c r="D23" s="98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6" t="s">
        <v>115</v>
      </c>
      <c r="C26" s="97"/>
      <c r="D26" s="98"/>
      <c r="E26" s="1"/>
      <c r="F26" s="1"/>
    </row>
    <row r="27" spans="1:6" x14ac:dyDescent="0.25">
      <c r="A27" s="1"/>
      <c r="B27" s="63" t="s">
        <v>116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63" t="s">
        <v>117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3" t="s">
        <v>154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3" t="s">
        <v>211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6"/>
      <c r="C31" s="97"/>
      <c r="D31" s="98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W3aftYXT0Gq5H8JNeqfeKb2isczbGSdfCSMrwjeWpKJgqirOqaltpXcl38UxjZQTEdrJR9XovsHE66AvEMi97g==" saltValue="tFpDc3r5OsgjvtQXs3nGWA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8" width="9.140625" style="2"/>
    <col min="9" max="9" width="10.85546875" style="2" bestFit="1" customWidth="1"/>
    <col min="10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4" t="s">
        <v>212</v>
      </c>
      <c r="C3" s="104"/>
      <c r="D3" s="104"/>
      <c r="E3" s="104"/>
      <c r="F3" s="104"/>
      <c r="G3" s="1"/>
    </row>
    <row r="4" spans="1:7" ht="15" customHeight="1" x14ac:dyDescent="0.25">
      <c r="A4" s="1"/>
      <c r="B4" s="104"/>
      <c r="C4" s="104"/>
      <c r="D4" s="104"/>
      <c r="E4" s="104"/>
      <c r="F4" s="104"/>
      <c r="G4" s="1"/>
    </row>
    <row r="5" spans="1:7" ht="15" customHeight="1" x14ac:dyDescent="0.25">
      <c r="A5" s="1"/>
      <c r="B5" s="59"/>
      <c r="C5" s="59"/>
      <c r="D5" s="59"/>
      <c r="E5" s="59"/>
      <c r="F5" s="59"/>
      <c r="G5" s="1"/>
    </row>
    <row r="6" spans="1:7" ht="15" customHeight="1" x14ac:dyDescent="0.25">
      <c r="A6" s="1"/>
      <c r="B6" s="59"/>
      <c r="C6" s="59"/>
      <c r="D6" s="59"/>
      <c r="E6" s="59"/>
      <c r="F6" s="5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267</v>
      </c>
      <c r="C8" s="97"/>
      <c r="D8" s="97"/>
      <c r="E8" s="97"/>
      <c r="F8" s="98"/>
      <c r="G8" s="1"/>
    </row>
    <row r="9" spans="1:7" x14ac:dyDescent="0.25">
      <c r="A9" s="1"/>
      <c r="B9" s="105" t="s">
        <v>268</v>
      </c>
      <c r="C9" s="106"/>
      <c r="D9" s="107"/>
      <c r="E9" s="9">
        <v>6268132.5878802389</v>
      </c>
      <c r="F9" s="14" t="s">
        <v>3</v>
      </c>
      <c r="G9" s="1"/>
    </row>
    <row r="10" spans="1:7" x14ac:dyDescent="0.25">
      <c r="A10" s="1"/>
      <c r="B10" s="105" t="s">
        <v>269</v>
      </c>
      <c r="C10" s="106"/>
      <c r="D10" s="107"/>
      <c r="E10" s="9">
        <v>-7475711.6605980098</v>
      </c>
      <c r="F10" s="14" t="s">
        <v>3</v>
      </c>
      <c r="G10" s="1"/>
    </row>
    <row r="11" spans="1:7" x14ac:dyDescent="0.25">
      <c r="A11" s="1"/>
      <c r="B11" s="105" t="s">
        <v>270</v>
      </c>
      <c r="C11" s="106"/>
      <c r="D11" s="107"/>
      <c r="E11" s="9">
        <v>-1207579.0727177709</v>
      </c>
      <c r="F11" s="14" t="s">
        <v>3</v>
      </c>
      <c r="G11" s="1"/>
    </row>
    <row r="12" spans="1:7" x14ac:dyDescent="0.25">
      <c r="A12" s="1"/>
      <c r="B12" s="105" t="s">
        <v>271</v>
      </c>
      <c r="C12" s="106"/>
      <c r="D12" s="107"/>
      <c r="E12" s="9">
        <v>-3778564.9616677314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9" t="s">
        <v>272</v>
      </c>
      <c r="C14" s="100"/>
      <c r="D14" s="100"/>
      <c r="E14" s="100"/>
      <c r="F14" s="101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273</v>
      </c>
      <c r="C16" s="97"/>
      <c r="D16" s="97"/>
      <c r="E16" s="97"/>
      <c r="F16" s="98"/>
      <c r="G16" s="1"/>
    </row>
    <row r="17" spans="1:9" x14ac:dyDescent="0.25">
      <c r="A17" s="1"/>
      <c r="B17" s="105" t="s">
        <v>274</v>
      </c>
      <c r="C17" s="106"/>
      <c r="D17" s="107"/>
      <c r="E17" s="9">
        <v>-1889282.5</v>
      </c>
      <c r="F17" s="14" t="s">
        <v>3</v>
      </c>
      <c r="G17" s="1"/>
    </row>
    <row r="18" spans="1:9" x14ac:dyDescent="0.25">
      <c r="A18" s="1"/>
      <c r="B18" s="105" t="s">
        <v>275</v>
      </c>
      <c r="C18" s="106"/>
      <c r="D18" s="107"/>
      <c r="E18" s="9">
        <v>-1889282.5</v>
      </c>
      <c r="F18" s="14" t="s">
        <v>3</v>
      </c>
      <c r="G18" s="1"/>
    </row>
    <row r="19" spans="1:9" x14ac:dyDescent="0.25">
      <c r="A19" s="1"/>
      <c r="B19" s="38"/>
      <c r="C19" s="32"/>
      <c r="D19" s="32"/>
      <c r="E19" s="32"/>
      <c r="F19" s="20"/>
      <c r="G19" s="1"/>
    </row>
    <row r="20" spans="1:9" ht="29.25" customHeight="1" x14ac:dyDescent="0.25">
      <c r="A20" s="1"/>
      <c r="B20" s="99" t="s">
        <v>276</v>
      </c>
      <c r="C20" s="100"/>
      <c r="D20" s="100"/>
      <c r="E20" s="100"/>
      <c r="F20" s="101"/>
      <c r="G20" s="1"/>
      <c r="I20" s="49"/>
    </row>
    <row r="21" spans="1:9" x14ac:dyDescent="0.25">
      <c r="A21" s="1"/>
      <c r="B21" s="1"/>
      <c r="C21" s="1"/>
      <c r="D21" s="1"/>
      <c r="E21" s="1"/>
      <c r="F21" s="1"/>
      <c r="G21" s="1"/>
    </row>
    <row r="22" spans="1:9" x14ac:dyDescent="0.25">
      <c r="A22" s="1"/>
      <c r="B22" s="54" t="s">
        <v>213</v>
      </c>
      <c r="C22" s="55"/>
      <c r="D22" s="55"/>
      <c r="E22" s="55"/>
      <c r="F22" s="56"/>
      <c r="G22" s="1"/>
    </row>
    <row r="23" spans="1:9" x14ac:dyDescent="0.25">
      <c r="A23" s="1"/>
      <c r="B23" s="60" t="s">
        <v>214</v>
      </c>
      <c r="C23" s="61"/>
      <c r="D23" s="62"/>
      <c r="E23" s="9">
        <v>105175163.21077035</v>
      </c>
      <c r="F23" s="14" t="s">
        <v>3</v>
      </c>
      <c r="G23" s="1"/>
    </row>
    <row r="24" spans="1:9" x14ac:dyDescent="0.25">
      <c r="A24" s="1"/>
      <c r="B24" s="60" t="s">
        <v>215</v>
      </c>
      <c r="C24" s="61"/>
      <c r="D24" s="62"/>
      <c r="E24" s="9">
        <v>114346823</v>
      </c>
      <c r="F24" s="14" t="s">
        <v>3</v>
      </c>
      <c r="G24" s="1"/>
    </row>
    <row r="25" spans="1:9" x14ac:dyDescent="0.25">
      <c r="A25" s="1"/>
      <c r="B25" s="60" t="s">
        <v>36</v>
      </c>
      <c r="C25" s="61"/>
      <c r="D25" s="62"/>
      <c r="E25" s="9">
        <v>0</v>
      </c>
      <c r="F25" s="14" t="s">
        <v>3</v>
      </c>
      <c r="G25" s="1"/>
    </row>
    <row r="26" spans="1:9" x14ac:dyDescent="0.25">
      <c r="A26" s="1"/>
      <c r="B26" s="57" t="s">
        <v>277</v>
      </c>
      <c r="C26" s="58"/>
      <c r="D26" s="65"/>
      <c r="E26" s="48">
        <f>E23-(E24-E25)</f>
        <v>-9171659.7892296463</v>
      </c>
      <c r="F26" s="17" t="s">
        <v>3</v>
      </c>
      <c r="G26" s="1"/>
    </row>
    <row r="27" spans="1:9" x14ac:dyDescent="0.25">
      <c r="A27" s="1"/>
      <c r="B27" s="38"/>
      <c r="C27" s="32"/>
      <c r="D27" s="32"/>
      <c r="E27" s="32"/>
      <c r="F27" s="20"/>
      <c r="G27" s="1"/>
    </row>
    <row r="28" spans="1:9" x14ac:dyDescent="0.25">
      <c r="A28" s="1"/>
      <c r="B28" s="1"/>
      <c r="C28" s="1"/>
      <c r="D28" s="1"/>
      <c r="E28" s="1"/>
      <c r="F28" s="1"/>
      <c r="G28" s="1"/>
    </row>
    <row r="29" spans="1:9" x14ac:dyDescent="0.25">
      <c r="A29" s="1"/>
      <c r="B29" s="1"/>
      <c r="C29" s="1"/>
      <c r="D29" s="1"/>
      <c r="E29" s="1"/>
      <c r="F29" s="1"/>
      <c r="G29" s="1"/>
    </row>
    <row r="30" spans="1:9" x14ac:dyDescent="0.25">
      <c r="A30" s="1"/>
      <c r="B30" s="96" t="s">
        <v>186</v>
      </c>
      <c r="C30" s="97"/>
      <c r="D30" s="97"/>
      <c r="E30" s="97"/>
      <c r="F30" s="98"/>
      <c r="G30" s="1"/>
    </row>
    <row r="31" spans="1:9" x14ac:dyDescent="0.25">
      <c r="A31" s="1"/>
      <c r="B31" s="117" t="s">
        <v>282</v>
      </c>
      <c r="C31" s="118"/>
      <c r="D31" s="119"/>
      <c r="E31" s="9">
        <v>0</v>
      </c>
      <c r="F31" s="14"/>
      <c r="G31" s="1"/>
    </row>
    <row r="32" spans="1:9" x14ac:dyDescent="0.25">
      <c r="A32" s="1"/>
      <c r="B32" s="117" t="s">
        <v>187</v>
      </c>
      <c r="C32" s="118"/>
      <c r="D32" s="119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-12950224.789229646</v>
      </c>
      <c r="F32" s="14" t="s">
        <v>3</v>
      </c>
      <c r="G32" s="1"/>
    </row>
    <row r="33" spans="1:7" x14ac:dyDescent="0.25">
      <c r="A33" s="1"/>
      <c r="B33" s="117" t="s">
        <v>120</v>
      </c>
      <c r="C33" s="118"/>
      <c r="D33" s="119"/>
      <c r="E33" s="9">
        <v>2</v>
      </c>
      <c r="F33" s="14" t="s">
        <v>21</v>
      </c>
      <c r="G33" s="1"/>
    </row>
    <row r="34" spans="1:7" x14ac:dyDescent="0.25">
      <c r="A34" s="1"/>
      <c r="B34" s="120" t="s">
        <v>188</v>
      </c>
      <c r="C34" s="120"/>
      <c r="D34" s="120"/>
      <c r="E34" s="10">
        <f>E32/E33</f>
        <v>-6475112.3946148232</v>
      </c>
      <c r="F34" s="17" t="s">
        <v>3</v>
      </c>
      <c r="G34" s="1"/>
    </row>
    <row r="35" spans="1:7" x14ac:dyDescent="0.25">
      <c r="A35" s="1"/>
      <c r="B35" s="121"/>
      <c r="C35" s="122"/>
      <c r="D35" s="122"/>
      <c r="E35" s="122"/>
      <c r="F35" s="123"/>
      <c r="G35" s="1"/>
    </row>
    <row r="36" spans="1:7" ht="75" customHeight="1" x14ac:dyDescent="0.25">
      <c r="A36" s="1"/>
      <c r="B36" s="99" t="s">
        <v>281</v>
      </c>
      <c r="C36" s="100"/>
      <c r="D36" s="100"/>
      <c r="E36" s="100"/>
      <c r="F36" s="10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wconJpexpzQyS0N5mJrinHxU6of+VJoJikRjI80/f0c85q6TCzX6gk1q80uVZ5Y70NttKOW76fA51J1K8ruJYQ==" saltValue="od+LKQIooQfT7ta3mCK/pg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4" t="s">
        <v>216</v>
      </c>
      <c r="C3" s="104"/>
      <c r="D3" s="104"/>
      <c r="E3" s="104"/>
      <c r="F3" s="104"/>
      <c r="G3" s="1"/>
    </row>
    <row r="4" spans="1:7" ht="1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6" t="s">
        <v>217</v>
      </c>
      <c r="C9" s="97"/>
      <c r="D9" s="97"/>
      <c r="E9" s="97"/>
      <c r="F9" s="98"/>
      <c r="G9" s="1"/>
    </row>
    <row r="10" spans="1:7" x14ac:dyDescent="0.25">
      <c r="A10" s="1"/>
      <c r="B10" s="99" t="s">
        <v>118</v>
      </c>
      <c r="C10" s="100"/>
      <c r="D10" s="101"/>
      <c r="E10" s="7"/>
      <c r="F10" s="8" t="s">
        <v>3</v>
      </c>
      <c r="G10" s="1"/>
    </row>
    <row r="11" spans="1:7" x14ac:dyDescent="0.25">
      <c r="A11" s="1"/>
      <c r="B11" s="105" t="s">
        <v>218</v>
      </c>
      <c r="C11" s="106"/>
      <c r="D11" s="107"/>
      <c r="E11" s="7"/>
      <c r="F11" s="8" t="s">
        <v>3</v>
      </c>
      <c r="G11" s="1"/>
    </row>
    <row r="12" spans="1:7" x14ac:dyDescent="0.25">
      <c r="A12" s="1"/>
      <c r="B12" s="102" t="s">
        <v>119</v>
      </c>
      <c r="C12" s="103"/>
      <c r="D12" s="124"/>
      <c r="E12" s="10">
        <f>E11-E10</f>
        <v>0</v>
      </c>
      <c r="F12" s="11" t="s">
        <v>3</v>
      </c>
      <c r="G12" s="1"/>
    </row>
    <row r="13" spans="1:7" x14ac:dyDescent="0.25">
      <c r="A13" s="1"/>
      <c r="B13" s="96" t="s">
        <v>109</v>
      </c>
      <c r="C13" s="97"/>
      <c r="D13" s="97"/>
      <c r="E13" s="97"/>
      <c r="F13" s="98"/>
      <c r="G13" s="1"/>
    </row>
    <row r="14" spans="1:7" x14ac:dyDescent="0.25">
      <c r="A14" s="1"/>
      <c r="B14" s="105" t="s">
        <v>219</v>
      </c>
      <c r="C14" s="106"/>
      <c r="D14" s="107"/>
      <c r="E14" s="9">
        <v>157230</v>
      </c>
      <c r="F14" s="8" t="s">
        <v>3</v>
      </c>
      <c r="G14" s="1"/>
    </row>
    <row r="15" spans="1:7" x14ac:dyDescent="0.25">
      <c r="A15" s="1"/>
      <c r="B15" s="99" t="s">
        <v>220</v>
      </c>
      <c r="C15" s="100"/>
      <c r="D15" s="101"/>
      <c r="E15" s="9">
        <v>220884</v>
      </c>
      <c r="F15" s="8" t="s">
        <v>3</v>
      </c>
      <c r="G15" s="1"/>
    </row>
    <row r="16" spans="1:7" x14ac:dyDescent="0.25">
      <c r="A16" s="1"/>
      <c r="B16" s="102" t="s">
        <v>119</v>
      </c>
      <c r="C16" s="103"/>
      <c r="D16" s="124"/>
      <c r="E16" s="10">
        <f>E15-E14</f>
        <v>63654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63654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Jk5cDEXAvrFoPb0Bvg/1OYr1xhZksQYGt2SgfKBy1cIuI48ZGREDd8C2oZTJNVSVpG7UvK0wbzM5Gxb+POorA==" saltValue="z/CaU4kDyLcBRHlkGWu7C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177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178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6" t="s">
        <v>283</v>
      </c>
      <c r="C10" s="67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6" t="s">
        <v>179</v>
      </c>
      <c r="C11" s="97"/>
      <c r="D11" s="9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6S1esI1hEZdMR74Cl2QIe6iEUhg7koscXPbN86IblrcXt+d5zgW4jioNu9J/K+i0LNYFhIWW0WErWpMsyuYGcQ==" saltValue="UYLxm6Xci1PcoDUyj1MN/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135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7" t="s">
        <v>279</v>
      </c>
      <c r="C11" s="22">
        <v>830693</v>
      </c>
      <c r="D11" s="14" t="s">
        <v>3</v>
      </c>
      <c r="E11" s="9">
        <v>1945295</v>
      </c>
      <c r="F11" s="14" t="s">
        <v>3</v>
      </c>
      <c r="G11" s="1"/>
    </row>
    <row r="12" spans="1:7" x14ac:dyDescent="0.25">
      <c r="A12" s="1"/>
      <c r="B12" s="38" t="s">
        <v>163</v>
      </c>
      <c r="C12" s="12">
        <f>SUM(C10:C11)</f>
        <v>830693</v>
      </c>
      <c r="D12" s="13" t="s">
        <v>3</v>
      </c>
      <c r="E12" s="12">
        <f>SUM(E10:E11)</f>
        <v>1945295</v>
      </c>
      <c r="F12" s="13" t="s">
        <v>3</v>
      </c>
      <c r="G12" s="1"/>
    </row>
    <row r="13" spans="1:7" x14ac:dyDescent="0.25">
      <c r="A13" s="1"/>
      <c r="B13" s="38" t="s">
        <v>222</v>
      </c>
      <c r="C13" s="12">
        <f>C12*(1+'Fane 14. Nøgletal'!C14)</f>
        <v>833434.28690000006</v>
      </c>
      <c r="D13" s="13" t="s">
        <v>3</v>
      </c>
      <c r="E13" s="12">
        <f>E12*(1+'Fane 14. Nøgletal'!C14)</f>
        <v>1951714.4735000001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cBN6yF8F51tOnsUEPCok83XbIhRJwoJ57kPzI8y1mOxyPrwIaxkgGOSvXbLhv124WeODsPVpWtIlA1r/WnLJRQ==" saltValue="gwHm80zv9eLQMT43Owk0c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134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112</v>
      </c>
      <c r="C8" s="97"/>
      <c r="D8" s="97"/>
      <c r="E8" s="97"/>
      <c r="F8" s="98"/>
      <c r="G8" s="1"/>
    </row>
    <row r="9" spans="1:7" x14ac:dyDescent="0.2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25">
      <c r="A10" s="1"/>
      <c r="B10" s="25" t="s">
        <v>280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113</v>
      </c>
      <c r="C16" s="97"/>
      <c r="D16" s="97"/>
      <c r="E16" s="97"/>
      <c r="F16" s="98"/>
      <c r="G16" s="1"/>
    </row>
    <row r="17" spans="1:7" x14ac:dyDescent="0.25">
      <c r="A17" s="1"/>
      <c r="B17" s="52" t="s">
        <v>18</v>
      </c>
      <c r="C17" s="52" t="s">
        <v>12</v>
      </c>
      <c r="D17" s="53"/>
      <c r="E17" s="52" t="s">
        <v>34</v>
      </c>
      <c r="F17" s="37"/>
      <c r="G17" s="1"/>
    </row>
    <row r="18" spans="1:7" x14ac:dyDescent="0.25">
      <c r="A18" s="1"/>
      <c r="B18" s="25" t="s">
        <v>280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166</v>
      </c>
      <c r="C24" s="97"/>
      <c r="D24" s="97"/>
      <c r="E24" s="97"/>
      <c r="F24" s="98"/>
      <c r="G24" s="1"/>
    </row>
    <row r="25" spans="1:7" x14ac:dyDescent="0.25">
      <c r="A25" s="1"/>
      <c r="B25" s="52" t="s">
        <v>18</v>
      </c>
      <c r="C25" s="52" t="s">
        <v>12</v>
      </c>
      <c r="D25" s="53"/>
      <c r="E25" s="52" t="s">
        <v>34</v>
      </c>
      <c r="F25" s="37"/>
      <c r="G25" s="1"/>
    </row>
    <row r="26" spans="1:7" x14ac:dyDescent="0.25">
      <c r="A26" s="1"/>
      <c r="B26" s="25" t="s">
        <v>280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224</v>
      </c>
      <c r="C32" s="97"/>
      <c r="D32" s="97"/>
      <c r="E32" s="97"/>
      <c r="F32" s="98"/>
      <c r="G32" s="1"/>
    </row>
    <row r="33" spans="1:7" x14ac:dyDescent="0.25">
      <c r="A33" s="1"/>
      <c r="B33" s="52" t="s">
        <v>18</v>
      </c>
      <c r="C33" s="52" t="s">
        <v>12</v>
      </c>
      <c r="D33" s="53"/>
      <c r="E33" s="52" t="s">
        <v>34</v>
      </c>
      <c r="F33" s="37"/>
      <c r="G33" s="1"/>
    </row>
    <row r="34" spans="1:7" x14ac:dyDescent="0.25">
      <c r="A34" s="1"/>
      <c r="B34" s="25" t="s">
        <v>280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5lNdqBf1Fl654OuNYxzL+p5kJ9l++ePywt+BhFMCsGxf/ZKQF64AsiyTyI3xFRLg1ekVWtI3hXKwyl1OoneApQ==" saltValue="s8piEQ8w3YD1LEa/iO/zX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4" t="s">
        <v>136</v>
      </c>
      <c r="C3" s="104"/>
      <c r="D3" s="104"/>
      <c r="E3" s="104"/>
      <c r="F3" s="104"/>
      <c r="G3" s="1"/>
    </row>
    <row r="4" spans="1:7" ht="1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04"/>
      <c r="C5" s="104"/>
      <c r="D5" s="104"/>
      <c r="E5" s="104"/>
      <c r="F5" s="10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103</v>
      </c>
      <c r="C8" s="97"/>
      <c r="D8" s="97"/>
      <c r="E8" s="97"/>
      <c r="F8" s="98"/>
      <c r="G8" s="1"/>
    </row>
    <row r="9" spans="1:7" x14ac:dyDescent="0.25">
      <c r="A9" s="1"/>
      <c r="B9" s="125" t="s">
        <v>226</v>
      </c>
      <c r="C9" s="126"/>
      <c r="D9" s="127"/>
      <c r="E9" s="9">
        <v>0</v>
      </c>
      <c r="F9" s="14" t="s">
        <v>3</v>
      </c>
      <c r="G9" s="1"/>
    </row>
    <row r="10" spans="1:7" x14ac:dyDescent="0.25">
      <c r="A10" s="1"/>
      <c r="B10" s="90" t="s">
        <v>10</v>
      </c>
      <c r="C10" s="91"/>
      <c r="D10" s="92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0" t="s">
        <v>26</v>
      </c>
      <c r="C11" s="91"/>
      <c r="D11" s="92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6" t="s">
        <v>105</v>
      </c>
      <c r="C12" s="97"/>
      <c r="D12" s="98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104</v>
      </c>
      <c r="C14" s="97"/>
      <c r="D14" s="97"/>
      <c r="E14" s="97"/>
      <c r="F14" s="98"/>
      <c r="G14" s="1"/>
    </row>
    <row r="15" spans="1:7" ht="15" customHeight="1" x14ac:dyDescent="0.25">
      <c r="A15" s="1"/>
      <c r="B15" s="125" t="s">
        <v>226</v>
      </c>
      <c r="C15" s="126"/>
      <c r="D15" s="127"/>
      <c r="E15" s="9">
        <v>0</v>
      </c>
      <c r="F15" s="14" t="s">
        <v>3</v>
      </c>
      <c r="G15" s="1"/>
    </row>
    <row r="16" spans="1:7" x14ac:dyDescent="0.25">
      <c r="A16" s="1"/>
      <c r="B16" s="90" t="s">
        <v>10</v>
      </c>
      <c r="C16" s="91"/>
      <c r="D16" s="92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0" t="s">
        <v>26</v>
      </c>
      <c r="C17" s="91"/>
      <c r="D17" s="92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6" t="s">
        <v>106</v>
      </c>
      <c r="C18" s="97"/>
      <c r="D18" s="98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6" t="s">
        <v>155</v>
      </c>
      <c r="C20" s="97"/>
      <c r="D20" s="97"/>
      <c r="E20" s="97"/>
      <c r="F20" s="98"/>
      <c r="G20" s="1"/>
    </row>
    <row r="21" spans="1:7" ht="15" customHeight="1" x14ac:dyDescent="0.25">
      <c r="A21" s="1"/>
      <c r="B21" s="125" t="s">
        <v>226</v>
      </c>
      <c r="C21" s="126"/>
      <c r="D21" s="127"/>
      <c r="E21" s="9">
        <v>0</v>
      </c>
      <c r="F21" s="14" t="s">
        <v>3</v>
      </c>
      <c r="G21" s="1"/>
    </row>
    <row r="22" spans="1:7" x14ac:dyDescent="0.25">
      <c r="A22" s="1"/>
      <c r="B22" s="90" t="s">
        <v>10</v>
      </c>
      <c r="C22" s="91"/>
      <c r="D22" s="92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0" t="s">
        <v>26</v>
      </c>
      <c r="C23" s="91"/>
      <c r="D23" s="92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6" t="s">
        <v>156</v>
      </c>
      <c r="C24" s="97"/>
      <c r="D24" s="98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6" t="s">
        <v>227</v>
      </c>
      <c r="C26" s="97"/>
      <c r="D26" s="97"/>
      <c r="E26" s="97"/>
      <c r="F26" s="98"/>
      <c r="G26" s="1"/>
    </row>
    <row r="27" spans="1:7" ht="15" customHeight="1" x14ac:dyDescent="0.25">
      <c r="A27" s="1"/>
      <c r="B27" s="125" t="s">
        <v>226</v>
      </c>
      <c r="C27" s="126"/>
      <c r="D27" s="127"/>
      <c r="E27" s="9">
        <v>0</v>
      </c>
      <c r="F27" s="14" t="s">
        <v>3</v>
      </c>
      <c r="G27" s="1"/>
    </row>
    <row r="28" spans="1:7" x14ac:dyDescent="0.25">
      <c r="A28" s="1"/>
      <c r="B28" s="90" t="s">
        <v>10</v>
      </c>
      <c r="C28" s="91"/>
      <c r="D28" s="92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0" t="s">
        <v>26</v>
      </c>
      <c r="C29" s="91"/>
      <c r="D29" s="92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6" t="s">
        <v>228</v>
      </c>
      <c r="C30" s="97"/>
      <c r="D30" s="98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BW5baWDUCWQ7ZsFN0x4KQpJOiblPB3n6qxtJU7tmY85nn8yAgkDir+FqF/8zsdsMyiA10/qxej3zfSOnR8Z9mQ==" saltValue="YEtidOOX0L5DF5DB8DciYA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4" t="s">
        <v>157</v>
      </c>
      <c r="C3" s="104"/>
      <c r="D3" s="104"/>
      <c r="E3" s="104"/>
      <c r="F3" s="104"/>
      <c r="G3" s="1"/>
    </row>
    <row r="4" spans="1:7" ht="25.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158</v>
      </c>
      <c r="C8" s="97"/>
      <c r="D8" s="97"/>
      <c r="E8" s="97"/>
      <c r="F8" s="98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xit7OnPpWMnewCUEnY3maJTXWXztOn++uuuwJhVSNpNEvZ2yL9PkA6yscGXtiGGmxWGEt2FJhxN3IrhHSw0RYw==" saltValue="bt1vTGlR6pUXMw+ZJH6tf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4" t="s">
        <v>133</v>
      </c>
      <c r="C3" s="104"/>
      <c r="D3" s="104"/>
      <c r="E3" s="104"/>
      <c r="F3" s="104"/>
      <c r="G3" s="1"/>
    </row>
    <row r="4" spans="1:7" ht="25.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107</v>
      </c>
      <c r="C8" s="97"/>
      <c r="D8" s="97"/>
      <c r="E8" s="97"/>
      <c r="F8" s="9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108</v>
      </c>
      <c r="C14" s="97"/>
      <c r="D14" s="97"/>
      <c r="E14" s="97"/>
      <c r="F14" s="9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6" t="s">
        <v>169</v>
      </c>
      <c r="C20" s="97"/>
      <c r="D20" s="97"/>
      <c r="E20" s="97"/>
      <c r="F20" s="9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6" t="s">
        <v>231</v>
      </c>
      <c r="C26" s="97"/>
      <c r="D26" s="97"/>
      <c r="E26" s="97"/>
      <c r="F26" s="9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9h17IOHQwKHXD/dM+zgOx5O7/rU4nhtSjiEGkU7Z7kdzBLnMvcKpCXOiWgvo+rBW7gBwUE4KwFcliuFH7GfSyQ==" saltValue="S/0JKVjBT5LbuPahtW6qf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4" t="s">
        <v>189</v>
      </c>
      <c r="C3" s="104"/>
      <c r="D3" s="1"/>
    </row>
    <row r="4" spans="1:4" ht="25.5" customHeight="1" x14ac:dyDescent="0.25">
      <c r="A4" s="1"/>
      <c r="B4" s="104"/>
      <c r="C4" s="10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3" t="s">
        <v>137</v>
      </c>
      <c r="C9" s="26">
        <v>1.2699999999999999E-2</v>
      </c>
      <c r="D9" s="1"/>
    </row>
    <row r="10" spans="1:4" x14ac:dyDescent="0.25">
      <c r="A10" s="1"/>
      <c r="B10" s="63" t="s">
        <v>138</v>
      </c>
      <c r="C10" s="26">
        <v>1.7500000000000002E-2</v>
      </c>
      <c r="D10" s="1"/>
    </row>
    <row r="11" spans="1:4" x14ac:dyDescent="0.25">
      <c r="A11" s="1"/>
      <c r="B11" s="63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3" t="s">
        <v>253</v>
      </c>
      <c r="C14" s="68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3" t="s">
        <v>139</v>
      </c>
      <c r="C19" s="23">
        <v>9.1000000000000004E-3</v>
      </c>
      <c r="D19" s="1"/>
    </row>
    <row r="20" spans="1:4" x14ac:dyDescent="0.25">
      <c r="A20" s="1"/>
      <c r="B20" s="63" t="s">
        <v>190</v>
      </c>
      <c r="C20" s="23">
        <v>1.77E-2</v>
      </c>
      <c r="D20" s="1"/>
    </row>
    <row r="21" spans="1:4" x14ac:dyDescent="0.25">
      <c r="A21" s="1"/>
      <c r="B21" s="63" t="s">
        <v>191</v>
      </c>
      <c r="C21" s="23">
        <v>8.6999999999999994E-3</v>
      </c>
      <c r="D21" s="1"/>
    </row>
    <row r="22" spans="1:4" x14ac:dyDescent="0.25">
      <c r="A22" s="1"/>
      <c r="B22" s="63" t="s">
        <v>140</v>
      </c>
      <c r="C22" s="41">
        <v>2.8400000000000002E-2</v>
      </c>
      <c r="D22" s="1"/>
    </row>
    <row r="23" spans="1:4" x14ac:dyDescent="0.25">
      <c r="A23" s="1"/>
      <c r="B23" s="63" t="s">
        <v>192</v>
      </c>
      <c r="C23" s="41">
        <v>2.75E-2</v>
      </c>
      <c r="D23" s="1"/>
    </row>
    <row r="24" spans="1:4" x14ac:dyDescent="0.25">
      <c r="A24" s="1"/>
      <c r="B24" s="63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3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jGo2YQ+ERxhd1lbDkB652Wo9r5Cu3P+G29XY03yK1pwKmRF4lBrmmxlNx+dgdPg0IDhcjwg6HYw5HwEp1wVORA==" saltValue="s08Y7SdwRIPsUapJV5VGA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194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101770097.69458351</v>
      </c>
      <c r="D9" s="8" t="s">
        <v>3</v>
      </c>
      <c r="E9" s="1"/>
    </row>
    <row r="10" spans="1:5" ht="17.100000000000001" customHeight="1" x14ac:dyDescent="0.25">
      <c r="A10" s="1"/>
      <c r="B10" s="51" t="s">
        <v>43</v>
      </c>
      <c r="C10" s="7">
        <f>'Fane 10.1. Varige tillæg'!C13</f>
        <v>833434.28690000006</v>
      </c>
      <c r="D10" s="8" t="s">
        <v>3</v>
      </c>
      <c r="E10" s="1"/>
    </row>
    <row r="11" spans="1:5" ht="17.100000000000001" customHeight="1" x14ac:dyDescent="0.25">
      <c r="A11" s="1"/>
      <c r="B11" s="51" t="s">
        <v>44</v>
      </c>
      <c r="C11" s="9">
        <f>'Fane 10.1. Varige tillæg'!E13</f>
        <v>1951714.4735000001</v>
      </c>
      <c r="D11" s="8" t="s">
        <v>3</v>
      </c>
      <c r="E11" s="1"/>
    </row>
    <row r="12" spans="1:5" ht="17.100000000000001" customHeight="1" x14ac:dyDescent="0.25">
      <c r="A12" s="1"/>
      <c r="B12" s="51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1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1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1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1" t="s">
        <v>20</v>
      </c>
      <c r="C16" s="9">
        <f>SUM(C9:C15)*'Fane 14. Nøgletal'!C14</f>
        <v>345032.31330144557</v>
      </c>
      <c r="D16" s="8" t="s">
        <v>3</v>
      </c>
      <c r="E16" s="1"/>
    </row>
    <row r="17" spans="1:5" ht="17.100000000000001" customHeight="1" x14ac:dyDescent="0.25">
      <c r="A17" s="1"/>
      <c r="B17" s="51" t="s">
        <v>10</v>
      </c>
      <c r="C17" s="9">
        <f>-SUM(C9:C16)*'Fane 5. Individuelt eff. krav'!G12</f>
        <v>-1951048.6990119889</v>
      </c>
      <c r="D17" s="8" t="s">
        <v>3</v>
      </c>
      <c r="E17" s="1"/>
    </row>
    <row r="18" spans="1:5" ht="17.100000000000001" customHeight="1" x14ac:dyDescent="0.25">
      <c r="A18" s="1"/>
      <c r="B18" s="51" t="s">
        <v>26</v>
      </c>
      <c r="C18" s="9">
        <f>-'Fane 4.1. Gen. krav - drift'!G40</f>
        <v>-684911.14580006769</v>
      </c>
      <c r="D18" s="8" t="s">
        <v>3</v>
      </c>
      <c r="E18" s="1"/>
    </row>
    <row r="19" spans="1:5" ht="17.100000000000001" customHeight="1" x14ac:dyDescent="0.25">
      <c r="A19" s="1"/>
      <c r="B19" s="51" t="s">
        <v>27</v>
      </c>
      <c r="C19" s="9">
        <f>-'Fane 4.2. Gen. krav - anlæg'!G37</f>
        <v>-1197341.6978195033</v>
      </c>
      <c r="D19" s="8" t="s">
        <v>3</v>
      </c>
      <c r="E19" s="1"/>
    </row>
    <row r="20" spans="1:5" ht="17.100000000000001" customHeight="1" x14ac:dyDescent="0.25">
      <c r="A20" s="1"/>
      <c r="B20" s="57" t="s">
        <v>22</v>
      </c>
      <c r="C20" s="10">
        <f>SUM(C9:C19)</f>
        <v>101066977.2256534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2106041.7689815704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7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1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1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7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285</v>
      </c>
      <c r="C30" s="10">
        <f>'Fane 7. Kontrol af ØR2020'!E34</f>
        <v>-6475112.3946148232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63654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4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96761560.60002014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eZPiYeg3PXhzFhbt97AlKT6/iQlSvFDrIA/JosRlQUWuTxp6G/08DrPk3P4vtnulBzLyAb75YudC1IbDO6IuZg==" saltValue="hfKoaNh26CQLCrMHBp3e0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196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23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101066977.2256534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1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333521.02484465617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-1885956.0004392941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-673427.92552958371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-1183513.7901260576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97657600.534403116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2112472.84781921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285</v>
      </c>
      <c r="C26" s="10">
        <f>'Fane 7. Kontrol af ØR2020'!E34</f>
        <v>-6475112.3946148232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4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93294960.987607509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fTv1BaJmMub4URxCV+52nyXsDWJP41ieV+s8LBi95lKS4w7M0Hv2sXWjAz2gUfWjpYVnkAUbY4HGzI+3B4G2nw==" saltValue="Jo9QN8S8Ub0kfn24zkUw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197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23</v>
      </c>
      <c r="C5" s="89"/>
      <c r="D5" s="89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97657600.534403116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322270.08176353027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-1822335.4726949537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-662137.23293015477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-1169845.5787260984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94325552.331815451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2118925.1492170133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96444477.481032461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QdPCWfcOXR3Imd4xLtef2ICuvDdj2VvF6UcE3wEUwoY3ra2CphjG2TdTmCqmYF2ir/2uLP8JSA8mcJDEAgFg+A==" saltValue="F7/kv2Puf/LhpFdek8b0i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198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23</v>
      </c>
      <c r="C5" s="89"/>
      <c r="D5" s="89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94325552.331815451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311274.32269499102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-1760157.9299017957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-651035.84008284786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-1156335.2193126832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91069297.665213108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2125398.7432094296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93194696.408422545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ktDu7MkOzgB56SFn0o82YgpD/FOOOExJPMwRrANlQCmWvUjyU0NlH3RrEDtrhCl6ehFEGQ9TGR7NG9h6ebHeBQ==" saltValue="4y92/lEoEAkuHdqsmS8ua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4" t="s">
        <v>250</v>
      </c>
      <c r="C3" s="104"/>
      <c r="D3" s="104"/>
      <c r="E3" s="104"/>
      <c r="F3" s="104"/>
      <c r="G3" s="1"/>
    </row>
    <row r="4" spans="1:7" ht="29.2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278</v>
      </c>
      <c r="C8" s="32"/>
      <c r="D8" s="32"/>
      <c r="E8" s="32"/>
      <c r="F8" s="20"/>
      <c r="G8" s="1"/>
    </row>
    <row r="9" spans="1:7" ht="15" customHeight="1" x14ac:dyDescent="0.25">
      <c r="A9" s="1"/>
      <c r="B9" s="99" t="s">
        <v>25</v>
      </c>
      <c r="C9" s="100"/>
      <c r="D9" s="101"/>
      <c r="E9" s="7">
        <v>103289050.31100284</v>
      </c>
      <c r="F9" s="8" t="s">
        <v>3</v>
      </c>
      <c r="G9" s="1"/>
    </row>
    <row r="10" spans="1:7" ht="15" customHeight="1" x14ac:dyDescent="0.25">
      <c r="A10" s="1"/>
      <c r="B10" s="90" t="s">
        <v>43</v>
      </c>
      <c r="C10" s="91"/>
      <c r="D10" s="92"/>
      <c r="E10" s="7">
        <v>370200.0036</v>
      </c>
      <c r="F10" s="8" t="s">
        <v>3</v>
      </c>
      <c r="G10" s="1"/>
    </row>
    <row r="11" spans="1:7" ht="15" customHeight="1" x14ac:dyDescent="0.25">
      <c r="A11" s="1"/>
      <c r="B11" s="90" t="s">
        <v>44</v>
      </c>
      <c r="C11" s="91"/>
      <c r="D11" s="92"/>
      <c r="E11" s="9">
        <v>1173361.4717999999</v>
      </c>
      <c r="F11" s="8" t="s">
        <v>3</v>
      </c>
      <c r="G11" s="1"/>
    </row>
    <row r="12" spans="1:7" ht="15" customHeight="1" x14ac:dyDescent="0.25">
      <c r="A12" s="1"/>
      <c r="B12" s="90" t="s">
        <v>29</v>
      </c>
      <c r="C12" s="91"/>
      <c r="D12" s="92"/>
      <c r="E12" s="9">
        <v>0</v>
      </c>
      <c r="F12" s="8" t="s">
        <v>3</v>
      </c>
      <c r="G12" s="1"/>
    </row>
    <row r="13" spans="1:7" ht="15" customHeight="1" x14ac:dyDescent="0.25">
      <c r="A13" s="1"/>
      <c r="B13" s="99" t="s">
        <v>28</v>
      </c>
      <c r="C13" s="100"/>
      <c r="D13" s="101"/>
      <c r="E13" s="9">
        <v>0</v>
      </c>
      <c r="F13" s="8" t="s">
        <v>3</v>
      </c>
      <c r="G13" s="1"/>
    </row>
    <row r="14" spans="1:7" ht="15" customHeight="1" x14ac:dyDescent="0.25">
      <c r="A14" s="1"/>
      <c r="B14" s="99" t="s">
        <v>31</v>
      </c>
      <c r="C14" s="100"/>
      <c r="D14" s="101"/>
      <c r="E14" s="9">
        <v>0</v>
      </c>
      <c r="F14" s="8" t="s">
        <v>3</v>
      </c>
      <c r="G14" s="1"/>
    </row>
    <row r="15" spans="1:7" ht="15" customHeight="1" x14ac:dyDescent="0.25">
      <c r="A15" s="1"/>
      <c r="B15" s="99" t="s">
        <v>30</v>
      </c>
      <c r="C15" s="100"/>
      <c r="D15" s="101"/>
      <c r="E15" s="9">
        <v>0</v>
      </c>
      <c r="F15" s="8" t="s">
        <v>3</v>
      </c>
      <c r="G15" s="1"/>
    </row>
    <row r="16" spans="1:7" ht="15" customHeight="1" x14ac:dyDescent="0.25">
      <c r="A16" s="1"/>
      <c r="B16" s="99" t="s">
        <v>20</v>
      </c>
      <c r="C16" s="100"/>
      <c r="D16" s="101"/>
      <c r="E16" s="9">
        <v>2053625.7411266358</v>
      </c>
      <c r="F16" s="8" t="s">
        <v>3</v>
      </c>
      <c r="G16" s="1"/>
    </row>
    <row r="17" spans="1:7" ht="15" customHeight="1" x14ac:dyDescent="0.25">
      <c r="A17" s="1"/>
      <c r="B17" s="99" t="s">
        <v>10</v>
      </c>
      <c r="C17" s="100"/>
      <c r="D17" s="101"/>
      <c r="E17" s="9">
        <v>-2137724.7505505895</v>
      </c>
      <c r="F17" s="8" t="s">
        <v>3</v>
      </c>
      <c r="G17" s="1"/>
    </row>
    <row r="18" spans="1:7" ht="15" customHeight="1" x14ac:dyDescent="0.25">
      <c r="A18" s="1"/>
      <c r="B18" s="99" t="s">
        <v>26</v>
      </c>
      <c r="C18" s="100"/>
      <c r="D18" s="101"/>
      <c r="E18" s="9">
        <f>-'Fane 4.1. Gen. krav - drift'!G34</f>
        <v>-679581.31370470522</v>
      </c>
      <c r="F18" s="8" t="s">
        <v>3</v>
      </c>
      <c r="G18" s="1"/>
    </row>
    <row r="19" spans="1:7" ht="15" customHeight="1" x14ac:dyDescent="0.25">
      <c r="A19" s="1"/>
      <c r="B19" s="99" t="s">
        <v>27</v>
      </c>
      <c r="C19" s="100"/>
      <c r="D19" s="101"/>
      <c r="E19" s="9">
        <f>-'Fane 4.2. Gen. krav - anlæg'!G31</f>
        <v>-2298833.7686906946</v>
      </c>
      <c r="F19" s="8" t="s">
        <v>3</v>
      </c>
      <c r="G19" s="1"/>
    </row>
    <row r="20" spans="1:7" ht="15" customHeight="1" x14ac:dyDescent="0.25">
      <c r="A20" s="1"/>
      <c r="B20" s="57" t="s">
        <v>22</v>
      </c>
      <c r="C20" s="58"/>
      <c r="D20" s="65"/>
      <c r="E20" s="10">
        <f>SUM(E9:E19)</f>
        <v>101770097.69458351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3" t="s">
        <v>13</v>
      </c>
      <c r="C22" s="94"/>
      <c r="D22" s="95"/>
      <c r="E22" s="10">
        <v>2283724.14847128</v>
      </c>
      <c r="F22" s="11" t="s">
        <v>3</v>
      </c>
      <c r="G22" s="1"/>
    </row>
    <row r="23" spans="1:7" ht="15" customHeight="1" x14ac:dyDescent="0.25">
      <c r="A23" s="1"/>
      <c r="B23" s="96" t="s">
        <v>94</v>
      </c>
      <c r="C23" s="97"/>
      <c r="D23" s="98"/>
      <c r="E23" s="32"/>
      <c r="F23" s="32"/>
      <c r="G23" s="1"/>
    </row>
    <row r="24" spans="1:7" ht="15" customHeight="1" x14ac:dyDescent="0.25">
      <c r="A24" s="1"/>
      <c r="B24" s="57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0" t="s">
        <v>89</v>
      </c>
      <c r="C26" s="91"/>
      <c r="D26" s="92"/>
      <c r="E26" s="9">
        <v>0</v>
      </c>
      <c r="F26" s="8" t="s">
        <v>3</v>
      </c>
      <c r="G26" s="1"/>
    </row>
    <row r="27" spans="1:7" ht="15" customHeight="1" x14ac:dyDescent="0.25">
      <c r="A27" s="1"/>
      <c r="B27" s="90" t="s">
        <v>90</v>
      </c>
      <c r="C27" s="91"/>
      <c r="D27" s="91"/>
      <c r="E27" s="9">
        <v>0</v>
      </c>
      <c r="F27" s="8" t="s">
        <v>3</v>
      </c>
      <c r="G27" s="1"/>
    </row>
    <row r="28" spans="1:7" ht="15" customHeight="1" x14ac:dyDescent="0.25">
      <c r="A28" s="1"/>
      <c r="B28" s="102" t="s">
        <v>95</v>
      </c>
      <c r="C28" s="103"/>
      <c r="D28" s="103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3" t="s">
        <v>185</v>
      </c>
      <c r="C30" s="94"/>
      <c r="D30" s="94"/>
      <c r="E30" s="45">
        <v>-603789.53635888547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3" t="s">
        <v>148</v>
      </c>
      <c r="C32" s="94"/>
      <c r="D32" s="95"/>
      <c r="E32" s="10">
        <v>-157230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103292802.30669589</v>
      </c>
      <c r="F33" s="13" t="s">
        <v>3</v>
      </c>
      <c r="G33" s="1"/>
    </row>
    <row r="34" spans="1:7" ht="27" customHeight="1" x14ac:dyDescent="0.25">
      <c r="A34" s="1"/>
      <c r="B34" s="99" t="s">
        <v>252</v>
      </c>
      <c r="C34" s="100"/>
      <c r="D34" s="100"/>
      <c r="E34" s="100"/>
      <c r="F34" s="10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yaTVVp3acT7GnoZ7nS8fYois5ivrFdlP+ijDiij1AIJOtyuZZjutWXpwpKkhEJGJm4G26rD6kRS52JTlGbJHbQ==" saltValue="dX9s212lNPBxTCDH0mjCgw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104" t="s">
        <v>130</v>
      </c>
      <c r="C2" s="104"/>
      <c r="D2" s="104"/>
      <c r="E2" s="104"/>
      <c r="F2" s="104"/>
      <c r="G2" s="104"/>
      <c r="H2" s="104"/>
      <c r="I2" s="1"/>
    </row>
    <row r="3" spans="1:9" ht="28.5" customHeight="1" x14ac:dyDescent="0.25">
      <c r="A3" s="1"/>
      <c r="B3" s="104"/>
      <c r="C3" s="104"/>
      <c r="D3" s="104"/>
      <c r="E3" s="104"/>
      <c r="F3" s="104"/>
      <c r="G3" s="104"/>
      <c r="H3" s="104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6" t="s">
        <v>56</v>
      </c>
      <c r="C5" s="97"/>
      <c r="D5" s="97"/>
      <c r="E5" s="97"/>
      <c r="F5" s="97"/>
      <c r="G5" s="97"/>
      <c r="H5" s="98"/>
      <c r="I5" s="1"/>
    </row>
    <row r="6" spans="1:9" x14ac:dyDescent="0.25">
      <c r="A6" s="1"/>
      <c r="B6" s="105" t="s">
        <v>45</v>
      </c>
      <c r="C6" s="106"/>
      <c r="D6" s="106"/>
      <c r="E6" s="106"/>
      <c r="F6" s="107"/>
      <c r="G6" s="24">
        <v>33843674.729208961</v>
      </c>
      <c r="H6" s="14" t="s">
        <v>3</v>
      </c>
      <c r="I6" s="1"/>
    </row>
    <row r="7" spans="1:9" x14ac:dyDescent="0.25">
      <c r="A7" s="1"/>
      <c r="B7" s="99" t="s">
        <v>145</v>
      </c>
      <c r="C7" s="100"/>
      <c r="D7" s="100"/>
      <c r="E7" s="100"/>
      <c r="F7" s="101"/>
      <c r="G7" s="69">
        <v>0</v>
      </c>
      <c r="H7" s="14" t="s">
        <v>3</v>
      </c>
      <c r="I7" s="1"/>
    </row>
    <row r="8" spans="1:9" x14ac:dyDescent="0.25">
      <c r="A8" s="1"/>
      <c r="B8" s="105" t="s">
        <v>46</v>
      </c>
      <c r="C8" s="106"/>
      <c r="D8" s="106"/>
      <c r="E8" s="106"/>
      <c r="F8" s="107"/>
      <c r="G8" s="24">
        <f>SUM(G6:G7)*'Fane 14. Nøgletal'!C29</f>
        <v>676873.49458417925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6" t="s">
        <v>57</v>
      </c>
      <c r="C11" s="97"/>
      <c r="D11" s="97"/>
      <c r="E11" s="97"/>
      <c r="F11" s="97"/>
      <c r="G11" s="97"/>
      <c r="H11" s="98"/>
      <c r="I11" s="1"/>
    </row>
    <row r="12" spans="1:9" x14ac:dyDescent="0.25">
      <c r="A12" s="1"/>
      <c r="B12" s="105" t="s">
        <v>47</v>
      </c>
      <c r="C12" s="106"/>
      <c r="D12" s="106"/>
      <c r="E12" s="106"/>
      <c r="F12" s="107"/>
      <c r="G12" s="24">
        <f>(G6-G8)*(1+'Fane 14. Nøgletal'!C10)</f>
        <v>33747220.256230719</v>
      </c>
      <c r="H12" s="14" t="s">
        <v>3</v>
      </c>
      <c r="I12" s="1"/>
    </row>
    <row r="13" spans="1:9" ht="15" customHeight="1" x14ac:dyDescent="0.25">
      <c r="A13" s="1"/>
      <c r="B13" s="105" t="s">
        <v>146</v>
      </c>
      <c r="C13" s="106"/>
      <c r="D13" s="106"/>
      <c r="E13" s="106"/>
      <c r="F13" s="107"/>
      <c r="G13" s="69">
        <v>0</v>
      </c>
      <c r="H13" s="14" t="s">
        <v>3</v>
      </c>
      <c r="I13" s="1"/>
    </row>
    <row r="14" spans="1:9" x14ac:dyDescent="0.25">
      <c r="A14" s="1"/>
      <c r="B14" s="99" t="s">
        <v>143</v>
      </c>
      <c r="C14" s="100"/>
      <c r="D14" s="100"/>
      <c r="E14" s="100"/>
      <c r="F14" s="101"/>
      <c r="G14" s="69">
        <v>0</v>
      </c>
      <c r="H14" s="14" t="s">
        <v>3</v>
      </c>
      <c r="I14" s="1"/>
    </row>
    <row r="15" spans="1:9" x14ac:dyDescent="0.25">
      <c r="A15" s="1"/>
      <c r="B15" s="108" t="s">
        <v>48</v>
      </c>
      <c r="C15" s="109"/>
      <c r="D15" s="109"/>
      <c r="E15" s="109"/>
      <c r="F15" s="110"/>
      <c r="G15" s="69">
        <v>0</v>
      </c>
      <c r="H15" s="14" t="s">
        <v>3</v>
      </c>
      <c r="I15" s="1"/>
    </row>
    <row r="16" spans="1:9" x14ac:dyDescent="0.25">
      <c r="A16" s="1"/>
      <c r="B16" s="105" t="s">
        <v>49</v>
      </c>
      <c r="C16" s="106"/>
      <c r="D16" s="106"/>
      <c r="E16" s="106"/>
      <c r="F16" s="107"/>
      <c r="G16" s="24">
        <f>SUM(G12:G15)*'Fane 14. Nøgletal'!C29</f>
        <v>674944.40512461436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6" t="s">
        <v>58</v>
      </c>
      <c r="C19" s="97"/>
      <c r="D19" s="97"/>
      <c r="E19" s="97"/>
      <c r="F19" s="97"/>
      <c r="G19" s="97"/>
      <c r="H19" s="98"/>
      <c r="I19" s="1"/>
    </row>
    <row r="20" spans="1:9" x14ac:dyDescent="0.25">
      <c r="A20" s="1"/>
      <c r="B20" s="105" t="s">
        <v>50</v>
      </c>
      <c r="C20" s="106"/>
      <c r="D20" s="106"/>
      <c r="E20" s="106"/>
      <c r="F20" s="107"/>
      <c r="G20" s="24">
        <f>(SUM(G12:G13,G15)-(G16))*(1+'Fane 14. Nøgletal'!C10)</f>
        <v>33651040.678500466</v>
      </c>
      <c r="H20" s="14" t="s">
        <v>3</v>
      </c>
      <c r="I20" s="1"/>
    </row>
    <row r="21" spans="1:9" x14ac:dyDescent="0.25">
      <c r="A21" s="1"/>
      <c r="B21" s="108" t="s">
        <v>51</v>
      </c>
      <c r="C21" s="109"/>
      <c r="D21" s="109"/>
      <c r="E21" s="109"/>
      <c r="F21" s="110"/>
      <c r="G21" s="69">
        <v>0</v>
      </c>
      <c r="H21" s="14" t="s">
        <v>3</v>
      </c>
      <c r="I21" s="1"/>
    </row>
    <row r="22" spans="1:9" x14ac:dyDescent="0.25">
      <c r="A22" s="1"/>
      <c r="B22" s="105" t="s">
        <v>52</v>
      </c>
      <c r="C22" s="106"/>
      <c r="D22" s="106"/>
      <c r="E22" s="106"/>
      <c r="F22" s="107"/>
      <c r="G22" s="24">
        <f>SUM(G20:G21)*'Fane 14. Nøgletal'!C29</f>
        <v>673020.81357000931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6" t="s">
        <v>59</v>
      </c>
      <c r="C25" s="97"/>
      <c r="D25" s="97"/>
      <c r="E25" s="97"/>
      <c r="F25" s="97"/>
      <c r="G25" s="97"/>
      <c r="H25" s="98"/>
      <c r="I25" s="1"/>
    </row>
    <row r="26" spans="1:9" x14ac:dyDescent="0.25">
      <c r="A26" s="1"/>
      <c r="B26" s="105" t="s">
        <v>53</v>
      </c>
      <c r="C26" s="106"/>
      <c r="D26" s="106"/>
      <c r="E26" s="106"/>
      <c r="F26" s="107"/>
      <c r="G26" s="24">
        <f>(G20+G21-G22)*(1+'Fane 14. Nøgletal'!C12)</f>
        <v>33627686.856269591</v>
      </c>
      <c r="H26" s="14" t="s">
        <v>3</v>
      </c>
      <c r="I26" s="1"/>
    </row>
    <row r="27" spans="1:9" x14ac:dyDescent="0.25">
      <c r="A27" s="1"/>
      <c r="B27" s="108" t="s">
        <v>54</v>
      </c>
      <c r="C27" s="109"/>
      <c r="D27" s="109"/>
      <c r="E27" s="109"/>
      <c r="F27" s="110"/>
      <c r="G27" s="69">
        <v>0</v>
      </c>
      <c r="H27" s="14" t="s">
        <v>3</v>
      </c>
      <c r="I27" s="1"/>
    </row>
    <row r="28" spans="1:9" x14ac:dyDescent="0.25">
      <c r="A28" s="1"/>
      <c r="B28" s="105" t="s">
        <v>55</v>
      </c>
      <c r="C28" s="106"/>
      <c r="D28" s="106"/>
      <c r="E28" s="106"/>
      <c r="F28" s="107"/>
      <c r="G28" s="24">
        <f>(G26+G27)*'Fane 14. Nøgletal'!C29</f>
        <v>672553.73712539184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6" t="s">
        <v>62</v>
      </c>
      <c r="C31" s="97"/>
      <c r="D31" s="97"/>
      <c r="E31" s="97"/>
      <c r="F31" s="97"/>
      <c r="G31" s="97"/>
      <c r="H31" s="98"/>
      <c r="I31" s="1"/>
    </row>
    <row r="32" spans="1:9" x14ac:dyDescent="0.25">
      <c r="A32" s="1"/>
      <c r="B32" s="105" t="s">
        <v>63</v>
      </c>
      <c r="C32" s="106"/>
      <c r="D32" s="106"/>
      <c r="E32" s="106"/>
      <c r="F32" s="107"/>
      <c r="G32" s="24">
        <f>(G26+G27-G28)*(1+'Fane 14. Nøgletal'!C12)</f>
        <v>33604349.241591342</v>
      </c>
      <c r="H32" s="14" t="s">
        <v>3</v>
      </c>
      <c r="I32" s="1"/>
    </row>
    <row r="33" spans="1:9" x14ac:dyDescent="0.25">
      <c r="A33" s="1"/>
      <c r="B33" s="105" t="s">
        <v>171</v>
      </c>
      <c r="C33" s="106"/>
      <c r="D33" s="106"/>
      <c r="E33" s="106"/>
      <c r="F33" s="107"/>
      <c r="G33" s="24">
        <v>374716.44364392001</v>
      </c>
      <c r="H33" s="14" t="s">
        <v>3</v>
      </c>
      <c r="I33" s="1"/>
    </row>
    <row r="34" spans="1:9" x14ac:dyDescent="0.25">
      <c r="A34" s="1"/>
      <c r="B34" s="105" t="s">
        <v>64</v>
      </c>
      <c r="C34" s="106"/>
      <c r="D34" s="106"/>
      <c r="E34" s="106"/>
      <c r="F34" s="107"/>
      <c r="G34" s="24">
        <f>(G32+G33)*'Fane 14. Nøgletal'!C29</f>
        <v>679581.31370470522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6" t="s">
        <v>232</v>
      </c>
      <c r="C37" s="97"/>
      <c r="D37" s="97"/>
      <c r="E37" s="97"/>
      <c r="F37" s="97"/>
      <c r="G37" s="97"/>
      <c r="H37" s="98"/>
      <c r="I37" s="1"/>
    </row>
    <row r="38" spans="1:9" x14ac:dyDescent="0.25">
      <c r="A38" s="1"/>
      <c r="B38" s="105" t="s">
        <v>84</v>
      </c>
      <c r="C38" s="106"/>
      <c r="D38" s="106"/>
      <c r="E38" s="106"/>
      <c r="F38" s="107"/>
      <c r="G38" s="24">
        <f>(G32+G33-G34)*(1+'Fane 14. Nøgletal'!C14)</f>
        <v>33409372.66995661</v>
      </c>
      <c r="H38" s="14" t="s">
        <v>3</v>
      </c>
      <c r="I38" s="1"/>
    </row>
    <row r="39" spans="1:9" x14ac:dyDescent="0.25">
      <c r="A39" s="1"/>
      <c r="B39" s="105" t="s">
        <v>236</v>
      </c>
      <c r="C39" s="106"/>
      <c r="D39" s="106"/>
      <c r="E39" s="106"/>
      <c r="F39" s="107"/>
      <c r="G39" s="24">
        <f>SUM('Fane 2.1. Økonomisk ramme 2022'!C10,'Fane 2.1. Økonomisk ramme 2022'!C12,'Fane 2.1. Økonomisk ramme 2022'!C14)*(1+'Fane 14. Nøgletal'!C14)</f>
        <v>836184.62004677008</v>
      </c>
      <c r="H39" s="14" t="s">
        <v>3</v>
      </c>
      <c r="I39" s="1"/>
    </row>
    <row r="40" spans="1:9" x14ac:dyDescent="0.25">
      <c r="A40" s="1"/>
      <c r="B40" s="105" t="s">
        <v>234</v>
      </c>
      <c r="C40" s="106"/>
      <c r="D40" s="106"/>
      <c r="E40" s="106"/>
      <c r="F40" s="107"/>
      <c r="G40" s="24">
        <f>(G38+G39)*'Fane 14. Nøgletal'!C29</f>
        <v>684911.14580006769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6" t="s">
        <v>233</v>
      </c>
      <c r="C43" s="97"/>
      <c r="D43" s="97"/>
      <c r="E43" s="97"/>
      <c r="F43" s="97"/>
      <c r="G43" s="97"/>
      <c r="H43" s="98"/>
      <c r="I43" s="1"/>
    </row>
    <row r="44" spans="1:9" x14ac:dyDescent="0.25">
      <c r="A44" s="1"/>
      <c r="B44" s="105" t="s">
        <v>83</v>
      </c>
      <c r="C44" s="106"/>
      <c r="D44" s="106"/>
      <c r="E44" s="106"/>
      <c r="F44" s="107"/>
      <c r="G44" s="24">
        <f>(G38+G39-G40)*(1+'Fane 14. Nøgletal'!C14)</f>
        <v>33671396.276479185</v>
      </c>
      <c r="H44" s="14" t="s">
        <v>3</v>
      </c>
      <c r="I44" s="1"/>
    </row>
    <row r="45" spans="1:9" x14ac:dyDescent="0.25">
      <c r="A45" s="1"/>
      <c r="B45" s="111" t="s">
        <v>237</v>
      </c>
      <c r="C45" s="112"/>
      <c r="D45" s="112"/>
      <c r="E45" s="112"/>
      <c r="F45" s="113"/>
      <c r="G45" s="24">
        <f>G39*(1+'Fane 14. Nøgletal'!C14)</f>
        <v>838944.02929292445</v>
      </c>
      <c r="H45" s="14" t="s">
        <v>3</v>
      </c>
      <c r="I45" s="1"/>
    </row>
    <row r="46" spans="1:9" x14ac:dyDescent="0.25">
      <c r="A46" s="1"/>
      <c r="B46" s="105" t="s">
        <v>97</v>
      </c>
      <c r="C46" s="106"/>
      <c r="D46" s="106"/>
      <c r="E46" s="106"/>
      <c r="F46" s="107"/>
      <c r="G46" s="69">
        <f>-'Fane 13. Bortfald'!C18*(1+'Fane 14. Nøgletal'!C14)</f>
        <v>0</v>
      </c>
      <c r="H46" s="14" t="s">
        <v>3</v>
      </c>
      <c r="I46" s="1"/>
    </row>
    <row r="47" spans="1:9" x14ac:dyDescent="0.25">
      <c r="A47" s="1"/>
      <c r="B47" s="105" t="s">
        <v>235</v>
      </c>
      <c r="C47" s="106"/>
      <c r="D47" s="106"/>
      <c r="E47" s="106"/>
      <c r="F47" s="107"/>
      <c r="G47" s="24">
        <f>(G44+G46)*'Fane 14. Nøgletal'!C29</f>
        <v>673427.92552958371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6" t="s">
        <v>172</v>
      </c>
      <c r="C52" s="97"/>
      <c r="D52" s="97"/>
      <c r="E52" s="97"/>
      <c r="F52" s="97"/>
      <c r="G52" s="97"/>
      <c r="H52" s="98"/>
      <c r="I52" s="1"/>
    </row>
    <row r="53" spans="1:9" x14ac:dyDescent="0.25">
      <c r="A53" s="1"/>
      <c r="B53" s="105" t="s">
        <v>173</v>
      </c>
      <c r="C53" s="106"/>
      <c r="D53" s="106"/>
      <c r="E53" s="106"/>
      <c r="F53" s="107"/>
      <c r="G53" s="24">
        <f>(G44+G46-G47)*(1+'Fane 14. Nøgletal'!C14)</f>
        <v>33106861.646507736</v>
      </c>
      <c r="H53" s="14" t="s">
        <v>3</v>
      </c>
      <c r="I53" s="1"/>
    </row>
    <row r="54" spans="1:9" x14ac:dyDescent="0.25">
      <c r="A54" s="1"/>
      <c r="B54" s="105" t="s">
        <v>174</v>
      </c>
      <c r="C54" s="106"/>
      <c r="D54" s="106"/>
      <c r="E54" s="106"/>
      <c r="F54" s="107"/>
      <c r="G54" s="69">
        <f>-'Fane 13. Bortfald'!C24*(1+'Fane 14. Nøgletal'!C14)</f>
        <v>0</v>
      </c>
      <c r="H54" s="14" t="s">
        <v>3</v>
      </c>
      <c r="I54" s="1"/>
    </row>
    <row r="55" spans="1:9" x14ac:dyDescent="0.25">
      <c r="A55" s="1"/>
      <c r="B55" s="105" t="s">
        <v>175</v>
      </c>
      <c r="C55" s="106"/>
      <c r="D55" s="106"/>
      <c r="E55" s="106"/>
      <c r="F55" s="107"/>
      <c r="G55" s="24">
        <f>(G53+G54)*'Fane 14. Nøgletal'!C29</f>
        <v>662137.23293015477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6" t="s">
        <v>201</v>
      </c>
      <c r="C58" s="97"/>
      <c r="D58" s="97"/>
      <c r="E58" s="97"/>
      <c r="F58" s="97"/>
      <c r="G58" s="97"/>
      <c r="H58" s="98"/>
      <c r="I58" s="1"/>
    </row>
    <row r="59" spans="1:9" x14ac:dyDescent="0.25">
      <c r="A59" s="1"/>
      <c r="B59" s="60" t="s">
        <v>202</v>
      </c>
      <c r="C59" s="61"/>
      <c r="D59" s="61"/>
      <c r="E59" s="61"/>
      <c r="F59" s="62"/>
      <c r="G59" s="24">
        <f>(G53+G54-G55)*(1+'Fane 14. Nøgletal'!C14)</f>
        <v>32551792.004142392</v>
      </c>
      <c r="H59" s="14" t="s">
        <v>3</v>
      </c>
      <c r="I59" s="1"/>
    </row>
    <row r="60" spans="1:9" x14ac:dyDescent="0.25">
      <c r="A60" s="1"/>
      <c r="B60" s="60" t="s">
        <v>203</v>
      </c>
      <c r="C60" s="61"/>
      <c r="D60" s="61"/>
      <c r="E60" s="61"/>
      <c r="F60" s="62"/>
      <c r="G60" s="69">
        <f>-'Fane 13. Bortfald'!C30*(1+'Fane 14. Nøgletal'!C14)</f>
        <v>0</v>
      </c>
      <c r="H60" s="14" t="s">
        <v>3</v>
      </c>
      <c r="I60" s="1"/>
    </row>
    <row r="61" spans="1:9" x14ac:dyDescent="0.25">
      <c r="A61" s="1"/>
      <c r="B61" s="60" t="s">
        <v>204</v>
      </c>
      <c r="C61" s="61"/>
      <c r="D61" s="61"/>
      <c r="E61" s="61"/>
      <c r="F61" s="62"/>
      <c r="G61" s="24">
        <f>(G59+G60)*'Fane 14. Nøgletal'!C29</f>
        <v>651035.84008284786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1eQaRbZfsj6zu500aV2pD3sDe8P6VGAAPK2IIEoYo1y3IMdTZYrspgr1/3691SjmVMDGhZ3NJC5SXuOpjwthpA==" saltValue="PZwjQIwBmS9QwY9hIjSAzA==" spinCount="100000" sheet="1" objects="1" scenarios="1"/>
  <mergeCells count="37">
    <mergeCell ref="B58:H58"/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38:F38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12:F12"/>
    <mergeCell ref="B11:H11"/>
    <mergeCell ref="B7:F7"/>
    <mergeCell ref="B2:H3"/>
    <mergeCell ref="B25:H25"/>
    <mergeCell ref="B5:H5"/>
    <mergeCell ref="B6:F6"/>
    <mergeCell ref="B8:F8"/>
    <mergeCell ref="B13:F13"/>
    <mergeCell ref="B14:F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4" t="s">
        <v>131</v>
      </c>
      <c r="C1" s="114"/>
      <c r="D1" s="114"/>
      <c r="E1" s="114"/>
      <c r="F1" s="114"/>
      <c r="G1" s="114"/>
      <c r="H1" s="114"/>
      <c r="I1" s="1"/>
    </row>
    <row r="2" spans="1:9" ht="15" customHeight="1" x14ac:dyDescent="0.25">
      <c r="A2" s="1"/>
      <c r="B2" s="114"/>
      <c r="C2" s="114"/>
      <c r="D2" s="114"/>
      <c r="E2" s="114"/>
      <c r="F2" s="114"/>
      <c r="G2" s="114"/>
      <c r="H2" s="114"/>
      <c r="I2" s="1"/>
    </row>
    <row r="3" spans="1:9" ht="15" customHeight="1" x14ac:dyDescent="0.25">
      <c r="A3" s="1"/>
      <c r="B3" s="115"/>
      <c r="C3" s="115"/>
      <c r="D3" s="115"/>
      <c r="E3" s="115"/>
      <c r="F3" s="115"/>
      <c r="G3" s="115"/>
      <c r="H3" s="115"/>
      <c r="I3" s="1"/>
    </row>
    <row r="4" spans="1:9" x14ac:dyDescent="0.25">
      <c r="A4" s="1"/>
      <c r="B4" s="96" t="s">
        <v>60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105" t="s">
        <v>65</v>
      </c>
      <c r="C5" s="106"/>
      <c r="D5" s="106"/>
      <c r="E5" s="106"/>
      <c r="F5" s="107"/>
      <c r="G5" s="24">
        <v>75586850.783497468</v>
      </c>
      <c r="H5" s="14" t="s">
        <v>3</v>
      </c>
      <c r="I5" s="1"/>
    </row>
    <row r="6" spans="1:9" x14ac:dyDescent="0.25">
      <c r="A6" s="1"/>
      <c r="B6" s="105" t="s">
        <v>61</v>
      </c>
      <c r="C6" s="106"/>
      <c r="D6" s="106"/>
      <c r="E6" s="106"/>
      <c r="F6" s="107"/>
      <c r="G6" s="24">
        <f>G5*'Fane 14. Nøgletal'!C19</f>
        <v>687840.34212982701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66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105" t="s">
        <v>67</v>
      </c>
      <c r="C10" s="106"/>
      <c r="D10" s="106"/>
      <c r="E10" s="106"/>
      <c r="F10" s="107"/>
      <c r="G10" s="24">
        <f>(G5-G6)*(1+'Fane 14. Nøgletal'!C10)</f>
        <v>76209743.124091581</v>
      </c>
      <c r="H10" s="14" t="s">
        <v>3</v>
      </c>
      <c r="I10" s="1"/>
    </row>
    <row r="11" spans="1:9" x14ac:dyDescent="0.25">
      <c r="A11" s="1"/>
      <c r="B11" s="105" t="s">
        <v>147</v>
      </c>
      <c r="C11" s="106"/>
      <c r="D11" s="106"/>
      <c r="E11" s="106"/>
      <c r="F11" s="107"/>
      <c r="G11" s="24">
        <v>343403.95279499952</v>
      </c>
      <c r="H11" s="14" t="s">
        <v>3</v>
      </c>
      <c r="I11" s="1"/>
    </row>
    <row r="12" spans="1:9" x14ac:dyDescent="0.25">
      <c r="A12" s="1"/>
      <c r="B12" s="108" t="s">
        <v>68</v>
      </c>
      <c r="C12" s="109"/>
      <c r="D12" s="109"/>
      <c r="E12" s="109"/>
      <c r="F12" s="110"/>
      <c r="G12" s="69">
        <v>0</v>
      </c>
      <c r="H12" s="14" t="s">
        <v>3</v>
      </c>
      <c r="I12" s="1"/>
    </row>
    <row r="13" spans="1:9" x14ac:dyDescent="0.25">
      <c r="A13" s="1"/>
      <c r="B13" s="105" t="s">
        <v>69</v>
      </c>
      <c r="C13" s="106"/>
      <c r="D13" s="106"/>
      <c r="E13" s="106"/>
      <c r="F13" s="107"/>
      <c r="G13" s="24">
        <f>SUM(G10:G12)*'Fane 14. Nøgletal'!C20</f>
        <v>1354990.7032608925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6" t="s">
        <v>70</v>
      </c>
      <c r="C16" s="97"/>
      <c r="D16" s="97"/>
      <c r="E16" s="97"/>
      <c r="F16" s="97"/>
      <c r="G16" s="97"/>
      <c r="H16" s="98"/>
      <c r="I16" s="1"/>
    </row>
    <row r="17" spans="1:9" x14ac:dyDescent="0.25">
      <c r="A17" s="1"/>
      <c r="B17" s="105" t="s">
        <v>71</v>
      </c>
      <c r="C17" s="106"/>
      <c r="D17" s="106"/>
      <c r="E17" s="106"/>
      <c r="F17" s="107"/>
      <c r="G17" s="24">
        <f>(SUM(G10:G12)-G13)*(1+'Fane 14. Nøgletal'!C10)</f>
        <v>76514124.110164136</v>
      </c>
      <c r="H17" s="14" t="s">
        <v>3</v>
      </c>
      <c r="I17" s="1"/>
    </row>
    <row r="18" spans="1:9" x14ac:dyDescent="0.25">
      <c r="A18" s="1"/>
      <c r="B18" s="108" t="s">
        <v>72</v>
      </c>
      <c r="C18" s="109"/>
      <c r="D18" s="109"/>
      <c r="E18" s="109"/>
      <c r="F18" s="110"/>
      <c r="G18" s="24">
        <v>1745772.2811990797</v>
      </c>
      <c r="H18" s="14" t="s">
        <v>3</v>
      </c>
      <c r="I18" s="1"/>
    </row>
    <row r="19" spans="1:9" x14ac:dyDescent="0.25">
      <c r="A19" s="1"/>
      <c r="B19" s="105" t="s">
        <v>73</v>
      </c>
      <c r="C19" s="106"/>
      <c r="D19" s="106"/>
      <c r="E19" s="106"/>
      <c r="F19" s="107"/>
      <c r="G19" s="24">
        <f>G17*'Fane 14. Nøgletal'!C20+G18*'Fane 14. Nøgletal'!C21</f>
        <v>1369488.2155963371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74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105" t="s">
        <v>75</v>
      </c>
      <c r="C23" s="106"/>
      <c r="D23" s="106"/>
      <c r="E23" s="106"/>
      <c r="F23" s="107"/>
      <c r="G23" s="24">
        <f>(G17+G18-G19)*(1+'Fane 14. Nøgletal'!C12)</f>
        <v>78405149.216829494</v>
      </c>
      <c r="H23" s="14" t="s">
        <v>3</v>
      </c>
      <c r="I23" s="1"/>
    </row>
    <row r="24" spans="1:9" x14ac:dyDescent="0.25">
      <c r="A24" s="1"/>
      <c r="B24" s="108" t="s">
        <v>76</v>
      </c>
      <c r="C24" s="109"/>
      <c r="D24" s="109"/>
      <c r="E24" s="109"/>
      <c r="F24" s="110"/>
      <c r="G24" s="24">
        <v>2135426.7994466517</v>
      </c>
      <c r="H24" s="14" t="s">
        <v>3</v>
      </c>
      <c r="I24" s="1"/>
    </row>
    <row r="25" spans="1:9" x14ac:dyDescent="0.25">
      <c r="A25" s="1"/>
      <c r="B25" s="105" t="s">
        <v>77</v>
      </c>
      <c r="C25" s="106"/>
      <c r="D25" s="106"/>
      <c r="E25" s="106"/>
      <c r="F25" s="107"/>
      <c r="G25" s="24">
        <f>(G23+G24)*'Fane 14. Nøgletal'!C22</f>
        <v>2287352.3588622427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78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105" t="s">
        <v>79</v>
      </c>
      <c r="C29" s="106"/>
      <c r="D29" s="106"/>
      <c r="E29" s="106"/>
      <c r="F29" s="107"/>
      <c r="G29" s="24">
        <f>(G23+G24-G25)*(1+'Fane 14. Nøgletal'!C12)</f>
        <v>79794812.163464978</v>
      </c>
      <c r="H29" s="14" t="s">
        <v>3</v>
      </c>
      <c r="I29" s="1"/>
    </row>
    <row r="30" spans="1:9" x14ac:dyDescent="0.25">
      <c r="A30" s="1"/>
      <c r="B30" s="105" t="s">
        <v>176</v>
      </c>
      <c r="C30" s="106"/>
      <c r="D30" s="106"/>
      <c r="E30" s="106"/>
      <c r="F30" s="107"/>
      <c r="G30" s="24">
        <v>1187676.48175596</v>
      </c>
      <c r="H30" s="14" t="s">
        <v>3</v>
      </c>
      <c r="I30" s="1"/>
    </row>
    <row r="31" spans="1:9" x14ac:dyDescent="0.25">
      <c r="A31" s="1"/>
      <c r="B31" s="105" t="s">
        <v>80</v>
      </c>
      <c r="C31" s="106"/>
      <c r="D31" s="106"/>
      <c r="E31" s="106"/>
      <c r="F31" s="107"/>
      <c r="G31" s="24">
        <f>G29*'Fane 14. Nøgletal'!C22+G30*'Fane 14. Nøgletal'!C23</f>
        <v>2298833.7686906946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238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105" t="s">
        <v>82</v>
      </c>
      <c r="C35" s="106"/>
      <c r="D35" s="106"/>
      <c r="E35" s="106"/>
      <c r="F35" s="107"/>
      <c r="G35" s="24">
        <f>(G29+G30-G31)*(1+'Fane 14. Nøgletal'!C14)</f>
        <v>78943310.9376228</v>
      </c>
      <c r="H35" s="14" t="s">
        <v>3</v>
      </c>
      <c r="I35" s="1"/>
    </row>
    <row r="36" spans="1:9" x14ac:dyDescent="0.25">
      <c r="A36" s="1"/>
      <c r="B36" s="105" t="s">
        <v>240</v>
      </c>
      <c r="C36" s="106"/>
      <c r="D36" s="106"/>
      <c r="E36" s="106"/>
      <c r="F36" s="107"/>
      <c r="G36" s="24">
        <f>SUM('Fane 2.1. Økonomisk ramme 2022'!C11,'Fane 2.1. Økonomisk ramme 2022'!C13,'Fane 2.1. Økonomisk ramme 2022'!C15)*(1+'Fane 14. Nøgletal'!C14)</f>
        <v>1958155.1312625501</v>
      </c>
      <c r="H36" s="14" t="s">
        <v>3</v>
      </c>
      <c r="I36" s="1"/>
    </row>
    <row r="37" spans="1:9" x14ac:dyDescent="0.25">
      <c r="A37" s="1"/>
      <c r="B37" s="105" t="s">
        <v>239</v>
      </c>
      <c r="C37" s="106"/>
      <c r="D37" s="106"/>
      <c r="E37" s="106"/>
      <c r="F37" s="107"/>
      <c r="G37" s="24">
        <f>(G35+G36)*'Fane 14. Nøgletal'!C24</f>
        <v>1197341.6978195033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85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105" t="s">
        <v>81</v>
      </c>
      <c r="C41" s="106"/>
      <c r="D41" s="106"/>
      <c r="E41" s="106"/>
      <c r="F41" s="107"/>
      <c r="G41" s="24">
        <f>(G35+G36-G37)*(1+'Fane 14. Nøgletal'!C14)</f>
        <v>79967147.981490374</v>
      </c>
      <c r="H41" s="14" t="s">
        <v>3</v>
      </c>
      <c r="I41" s="1"/>
    </row>
    <row r="42" spans="1:9" x14ac:dyDescent="0.25">
      <c r="A42" s="1"/>
      <c r="B42" s="47" t="s">
        <v>242</v>
      </c>
      <c r="C42" s="61"/>
      <c r="D42" s="61"/>
      <c r="E42" s="61"/>
      <c r="F42" s="62"/>
      <c r="G42" s="24">
        <f>G36*(1+'Fane 14. Nøgletal'!C14)</f>
        <v>1964617.0431957168</v>
      </c>
      <c r="H42" s="14" t="s">
        <v>3</v>
      </c>
      <c r="I42" s="1"/>
    </row>
    <row r="43" spans="1:9" x14ac:dyDescent="0.25">
      <c r="A43" s="1"/>
      <c r="B43" s="105" t="s">
        <v>101</v>
      </c>
      <c r="C43" s="106"/>
      <c r="D43" s="106"/>
      <c r="E43" s="106"/>
      <c r="F43" s="107"/>
      <c r="G43" s="6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5" t="s">
        <v>241</v>
      </c>
      <c r="C44" s="106"/>
      <c r="D44" s="106"/>
      <c r="E44" s="106"/>
      <c r="F44" s="107"/>
      <c r="G44" s="24">
        <f>(G41+G43)*'Fane 14. Nøgletal'!C24</f>
        <v>1183513.7901260576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6" t="s">
        <v>181</v>
      </c>
      <c r="C52" s="97"/>
      <c r="D52" s="97"/>
      <c r="E52" s="97"/>
      <c r="F52" s="97"/>
      <c r="G52" s="97"/>
      <c r="H52" s="98"/>
      <c r="I52" s="1"/>
    </row>
    <row r="53" spans="1:9" x14ac:dyDescent="0.25">
      <c r="A53" s="1"/>
      <c r="B53" s="105" t="s">
        <v>182</v>
      </c>
      <c r="C53" s="106"/>
      <c r="D53" s="106"/>
      <c r="E53" s="106"/>
      <c r="F53" s="107"/>
      <c r="G53" s="24">
        <f>(G41+G43-G44)*(1+'Fane 14. Nøgletal'!C14)</f>
        <v>79043620.184195831</v>
      </c>
      <c r="H53" s="14" t="s">
        <v>3</v>
      </c>
      <c r="I53" s="1"/>
    </row>
    <row r="54" spans="1:9" x14ac:dyDescent="0.25">
      <c r="A54" s="1"/>
      <c r="B54" s="105" t="s">
        <v>183</v>
      </c>
      <c r="C54" s="106"/>
      <c r="D54" s="106"/>
      <c r="E54" s="106"/>
      <c r="F54" s="107"/>
      <c r="G54" s="6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5" t="s">
        <v>184</v>
      </c>
      <c r="C55" s="106"/>
      <c r="D55" s="106"/>
      <c r="E55" s="106"/>
      <c r="F55" s="107"/>
      <c r="G55" s="24">
        <f>(G53+G54)*'Fane 14. Nøgletal'!C24</f>
        <v>1169845.5787260984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6" t="s">
        <v>205</v>
      </c>
      <c r="C58" s="97"/>
      <c r="D58" s="97"/>
      <c r="E58" s="97"/>
      <c r="F58" s="97"/>
      <c r="G58" s="97"/>
      <c r="H58" s="98"/>
      <c r="I58" s="1"/>
    </row>
    <row r="59" spans="1:9" x14ac:dyDescent="0.25">
      <c r="A59" s="1"/>
      <c r="B59" s="105" t="s">
        <v>255</v>
      </c>
      <c r="C59" s="106"/>
      <c r="D59" s="106"/>
      <c r="E59" s="106"/>
      <c r="F59" s="107"/>
      <c r="G59" s="24">
        <f>(G53+G54-G55)*(1+'Fane 14. Nøgletal'!C14)</f>
        <v>78130758.061667785</v>
      </c>
      <c r="H59" s="14" t="s">
        <v>3</v>
      </c>
      <c r="I59" s="1"/>
    </row>
    <row r="60" spans="1:9" x14ac:dyDescent="0.25">
      <c r="A60" s="1"/>
      <c r="B60" s="105" t="s">
        <v>256</v>
      </c>
      <c r="C60" s="106"/>
      <c r="D60" s="106"/>
      <c r="E60" s="106"/>
      <c r="F60" s="107"/>
      <c r="G60" s="6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5" t="s">
        <v>257</v>
      </c>
      <c r="C61" s="106"/>
      <c r="D61" s="106"/>
      <c r="E61" s="106"/>
      <c r="F61" s="107"/>
      <c r="G61" s="24">
        <f>(G59+G60)*'Fane 14. Nøgletal'!C24</f>
        <v>1156335.2193126832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N5K+JsPIrfPUpkUTybHWprvIh/0BcIdhk+6KS7UByeZVqb0/xbHabhGlilePEJuXveB3HnJ7MHM9QIyhYwMu7g==" saltValue="C5/QzvlGpJ9fjIRaY+ScRg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10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105" t="s">
        <v>243</v>
      </c>
      <c r="C9" s="106"/>
      <c r="D9" s="106"/>
      <c r="E9" s="106"/>
      <c r="F9" s="107"/>
      <c r="G9" s="23">
        <v>1.1059435181862561E-2</v>
      </c>
      <c r="H9" s="14"/>
      <c r="I9" s="1"/>
    </row>
    <row r="10" spans="1:9" x14ac:dyDescent="0.25">
      <c r="A10" s="1"/>
      <c r="B10" s="105" t="s">
        <v>86</v>
      </c>
      <c r="C10" s="106"/>
      <c r="D10" s="106"/>
      <c r="E10" s="106"/>
      <c r="F10" s="107"/>
      <c r="G10" s="23">
        <v>0.02</v>
      </c>
      <c r="H10" s="14"/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1">
        <v>0.02</v>
      </c>
      <c r="H11" s="14"/>
      <c r="I11" s="1"/>
    </row>
    <row r="12" spans="1:9" x14ac:dyDescent="0.25">
      <c r="A12" s="1"/>
      <c r="B12" s="105" t="s">
        <v>206</v>
      </c>
      <c r="C12" s="106"/>
      <c r="D12" s="106"/>
      <c r="E12" s="106"/>
      <c r="F12" s="107"/>
      <c r="G12" s="41">
        <v>1.859908021142323E-2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6" t="s">
        <v>207</v>
      </c>
      <c r="C14" s="116"/>
      <c r="D14" s="116"/>
      <c r="E14" s="116"/>
      <c r="F14" s="116"/>
      <c r="G14" s="116"/>
      <c r="H14" s="116"/>
      <c r="I14" s="1"/>
    </row>
    <row r="15" spans="1:9" ht="14.25" customHeight="1" x14ac:dyDescent="0.25">
      <c r="A15" s="18"/>
      <c r="B15" s="116"/>
      <c r="C15" s="116"/>
      <c r="D15" s="116"/>
      <c r="E15" s="116"/>
      <c r="F15" s="116"/>
      <c r="G15" s="116"/>
      <c r="H15" s="116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3Z4AOhqynPQicNnOdlHPoLLNG7XGox5m262POWb9N+u3MIt/CMzhN1y2yqsfcSh8y/bFWXbb0fmuDdUm8+isfg==" saltValue="DutJjhv84cc8DwBrj2shpw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2021-09-10T12:00:35Z</dcterms:modified>
</cp:coreProperties>
</file>