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MARIELYST VANDVÆRK (V007)\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<sst xmlns="http://schemas.openxmlformats.org/spreadsheetml/2006/main" count="322" uniqueCount="153">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</sst>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105</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78</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28</v>
      </c>
      <c r="D15" s="75" t="s">
        <v>64</v>
      </c>
      <c r="E15" s="76"/>
      <c r="F15" s="76"/>
      <c r="G15" s="77"/>
      <c r="H15" s="1"/>
      <c r="I15" s="1"/>
    </row>
    <row r="16" spans="1:9" x14ac:dyDescent="0.25">
      <c r="A16" s="1"/>
      <c r="B16" s="1"/>
      <c r="C16" s="6" t="s">
        <v>29</v>
      </c>
      <c r="D16" s="75" t="s">
        <v>79</v>
      </c>
      <c r="E16" s="76"/>
      <c r="F16" s="76"/>
      <c r="G16" s="77"/>
      <c r="H16" s="1"/>
      <c r="I16" s="1"/>
    </row>
    <row r="17" spans="1:9" x14ac:dyDescent="0.25">
      <c r="A17" s="1"/>
      <c r="B17" s="1"/>
      <c r="C17" s="6" t="s">
        <v>49</v>
      </c>
      <c r="D17" s="75" t="s">
        <v>80</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81</v>
      </c>
      <c r="E19" s="80"/>
      <c r="F19" s="80"/>
      <c r="G19" s="81"/>
      <c r="H19" s="1"/>
      <c r="I19" s="1"/>
    </row>
    <row r="20" spans="1:9" x14ac:dyDescent="0.25">
      <c r="A20" s="1"/>
      <c r="B20" s="1"/>
      <c r="C20" s="6" t="s">
        <v>46</v>
      </c>
      <c r="D20" s="79" t="s">
        <v>113</v>
      </c>
      <c r="E20" s="80"/>
      <c r="F20" s="80"/>
      <c r="G20" s="81"/>
      <c r="H20" s="1"/>
      <c r="I20" s="1"/>
    </row>
    <row r="21" spans="1:9" x14ac:dyDescent="0.25">
      <c r="A21" s="1"/>
      <c r="B21" s="1"/>
      <c r="C21" s="6" t="s">
        <v>152</v>
      </c>
      <c r="D21" s="79" t="s">
        <v>108</v>
      </c>
      <c r="E21" s="80"/>
      <c r="F21" s="80"/>
      <c r="G21" s="81"/>
      <c r="H21" s="1"/>
      <c r="I21" s="1"/>
    </row>
    <row r="22" spans="1:9" x14ac:dyDescent="0.25">
      <c r="A22" s="1"/>
      <c r="B22" s="1"/>
      <c r="C22" s="6" t="s">
        <v>120</v>
      </c>
      <c r="D22" s="79" t="s">
        <v>35</v>
      </c>
      <c r="E22" s="80"/>
      <c r="F22" s="80"/>
      <c r="G22" s="81"/>
      <c r="H22" s="1"/>
      <c r="I22" s="1"/>
    </row>
    <row r="23" spans="1:9" x14ac:dyDescent="0.25">
      <c r="A23" s="1"/>
      <c r="B23" s="1"/>
      <c r="C23" s="6" t="s">
        <v>121</v>
      </c>
      <c r="D23" s="79" t="s">
        <v>36</v>
      </c>
      <c r="E23" s="80"/>
      <c r="F23" s="80"/>
      <c r="G23" s="81"/>
      <c r="H23" s="1"/>
      <c r="I23" s="1"/>
    </row>
    <row r="24" spans="1:9" x14ac:dyDescent="0.25">
      <c r="A24" s="1"/>
      <c r="B24" s="1"/>
      <c r="C24" s="6" t="s">
        <v>9</v>
      </c>
      <c r="D24" s="79" t="s">
        <v>53</v>
      </c>
      <c r="E24" s="80"/>
      <c r="F24" s="80"/>
      <c r="G24" s="81"/>
      <c r="H24" s="1"/>
      <c r="I24" s="1"/>
    </row>
    <row r="25" spans="1:9" x14ac:dyDescent="0.25">
      <c r="A25" s="1"/>
      <c r="B25" s="1"/>
      <c r="C25" s="6" t="s">
        <v>41</v>
      </c>
      <c r="D25" s="79" t="s">
        <v>30</v>
      </c>
      <c r="E25" s="80"/>
      <c r="F25" s="80"/>
      <c r="G25" s="81"/>
      <c r="H25" s="1"/>
      <c r="I25" s="1"/>
    </row>
    <row r="26" spans="1:9" x14ac:dyDescent="0.25">
      <c r="A26" s="1"/>
      <c r="B26" s="1"/>
      <c r="C26" s="6" t="s">
        <v>122</v>
      </c>
      <c r="D26" s="84" t="s">
        <v>47</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btCUEefm7C0iiFbawV4CrlbiNg0gW2fF/VfMb951vMLQm+Il6J4+zXU5yB2+ELxwqRk2DTqqcHZbOAO0U754g==" saltValue="O7m95ijfQYpHECXeQA39P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55" t="s">
        <v>136</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maKotw0JxOVQlrv8EfPT6m+ONBySv0DLUiB+GyJDLZyIh8P4iG8F8ZqlWy+eee1i+ZAKXS59xaNLV1whV/+vSQ==" saltValue="S8O/gZiNq1YEV2OqdeWXy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1" t="s">
        <v>15</v>
      </c>
      <c r="C9" s="61" t="s">
        <v>10</v>
      </c>
      <c r="D9" s="62"/>
      <c r="E9" s="61" t="s">
        <v>24</v>
      </c>
      <c r="F9" s="71"/>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2" t="s">
        <v>67</v>
      </c>
      <c r="C12" s="10">
        <f>SUM(C10:C11)</f>
        <v>0</v>
      </c>
      <c r="D12" s="11" t="s">
        <v>3</v>
      </c>
      <c r="E12" s="10">
        <f>SUM(E10:E11)</f>
        <v>0</v>
      </c>
      <c r="F12" s="11" t="s">
        <v>3</v>
      </c>
      <c r="G12" s="1"/>
    </row>
    <row r="13" spans="1:7" x14ac:dyDescent="0.25">
      <c r="A13" s="1"/>
      <c r="B13" s="72"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qeM7wWcudWc893csB3VuFvdu8gEBep8C3nVLy8nT0HFShVDjAAuPjgZZvgA8KUuIeLzjZb/HDVmV2yLIrl21w==" saltValue="gzU88qyKI20c7prUNXqiI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1" t="s">
        <v>15</v>
      </c>
      <c r="C8" s="61" t="s">
        <v>10</v>
      </c>
      <c r="D8" s="62"/>
      <c r="E8" s="61" t="s">
        <v>24</v>
      </c>
      <c r="F8" s="71"/>
      <c r="G8" s="1"/>
    </row>
    <row r="9" spans="1:7" x14ac:dyDescent="0.25">
      <c r="A9" s="1"/>
      <c r="B9" s="20" t="s">
        <v>135</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spE7091t7oXsX2kKBTiNl/oPZDvHiMk4LnitEPvncuzfxJeJiw4Apz54H1BNC56aTd5uLgM2AyDIFO2OAFdiJA==" saltValue="7SxYlYH4WYTzIizoTcDaE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LE3+0nJgx4FWSfl086oQrgKlBpOT6ta3SmI/MqBO5wghEfhSjAzyn/BIF5W0f9TugyMu91OdmuSDOA6RPEI0g==" saltValue="MToLB2G6W/dWR1khOoZ4i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138</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6ieS4yi/E3oQt7WaaHifI47CVpSPhn/TqG/awu5sfzd3VXJbW6uvtDhHvrPrWAGrIQiRKjpu2GmtEXeKXWssxw==" saltValue="qh+sG+T1XdkvR8fIg6Ev4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25.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x6PyerSgqM9PnqcxOD5Jxx4nEeF7Ke9TDcXOh11v1mkvkAcqs8UQq3mkgJ69NcVyfE+SmZZRcw93LpbDmUJYdQ==" saltValue="xc7wtvIX37f658gTwA+0H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12</v>
      </c>
      <c r="C8" s="56"/>
      <c r="D8" s="56"/>
      <c r="E8" s="56"/>
      <c r="F8" s="56"/>
      <c r="G8" s="1"/>
    </row>
    <row r="9" spans="1:7" x14ac:dyDescent="0.25">
      <c r="A9" s="1"/>
      <c r="B9" s="53" t="s">
        <v>55</v>
      </c>
      <c r="C9" s="53"/>
      <c r="D9" s="53"/>
      <c r="E9" s="7">
        <f>'Fane 3. Omkostninger i ØR2022'!E16</f>
        <v>5607489.3105756743</v>
      </c>
      <c r="F9" s="53" t="s">
        <v>3</v>
      </c>
      <c r="G9" s="1"/>
    </row>
    <row r="10" spans="1:7" ht="17.100000000000001" customHeight="1" x14ac:dyDescent="0.25">
      <c r="A10" s="1"/>
      <c r="B10" s="24" t="s">
        <v>50</v>
      </c>
      <c r="C10" s="53"/>
      <c r="D10" s="53"/>
      <c r="E10" s="7">
        <f>'Fane 8.1. Varige tillæg'!C13+'Fane 8.1. Varige tillæg'!E13</f>
        <v>0</v>
      </c>
      <c r="F10" s="53" t="s">
        <v>3</v>
      </c>
      <c r="G10" s="1"/>
    </row>
    <row r="11" spans="1:7" ht="17.100000000000001" customHeight="1" x14ac:dyDescent="0.25">
      <c r="A11" s="1"/>
      <c r="B11" s="24" t="s">
        <v>52</v>
      </c>
      <c r="C11" s="53"/>
      <c r="D11" s="53"/>
      <c r="E11" s="8">
        <f>-('Fane 10. Bortfald'!C13+'Fane 10. Bortfald'!E13)</f>
        <v>0</v>
      </c>
      <c r="F11" s="53" t="s">
        <v>3</v>
      </c>
      <c r="G11" s="1"/>
    </row>
    <row r="12" spans="1:7" ht="17.100000000000001" customHeight="1" x14ac:dyDescent="0.25">
      <c r="A12" s="1"/>
      <c r="B12" s="24" t="s">
        <v>54</v>
      </c>
      <c r="C12" s="53"/>
      <c r="D12" s="53"/>
      <c r="E12" s="8">
        <f>'Fane 9. Tilknyttet virksomhed'!C12+'Fane 9. Tilknyttet virksomhed'!E12</f>
        <v>0</v>
      </c>
      <c r="F12" s="53" t="s">
        <v>3</v>
      </c>
      <c r="G12" s="1"/>
    </row>
    <row r="13" spans="1:7" ht="17.100000000000001" customHeight="1" x14ac:dyDescent="0.25">
      <c r="A13" s="1"/>
      <c r="B13" s="24" t="s">
        <v>17</v>
      </c>
      <c r="C13" s="53"/>
      <c r="D13" s="53"/>
      <c r="E13" s="8">
        <f>SUM(E9:E12)*'Fane 11. Nøgletal'!C15</f>
        <v>199626.61945649399</v>
      </c>
      <c r="F13" s="53" t="s">
        <v>3</v>
      </c>
      <c r="G13" s="1"/>
    </row>
    <row r="14" spans="1:7" ht="17.100000000000001" customHeight="1" x14ac:dyDescent="0.25">
      <c r="A14" s="1"/>
      <c r="B14" s="24" t="s">
        <v>44</v>
      </c>
      <c r="C14" s="53"/>
      <c r="D14" s="53"/>
      <c r="E14" s="8">
        <f>-SUM(E9,E10:E13)*'Fane 11. Nøgletal'!C20</f>
        <v>-98720.970810546874</v>
      </c>
      <c r="F14" s="53" t="s">
        <v>3</v>
      </c>
      <c r="G14" s="1"/>
    </row>
    <row r="15" spans="1:7" ht="15" customHeight="1" x14ac:dyDescent="0.25">
      <c r="A15" s="1"/>
      <c r="B15" s="66" t="s">
        <v>19</v>
      </c>
      <c r="C15" s="28"/>
      <c r="D15" s="28"/>
      <c r="E15" s="9">
        <f>SUM(E9,E10:E14)</f>
        <v>5708394.959221622</v>
      </c>
      <c r="F15" s="57" t="s">
        <v>3</v>
      </c>
      <c r="G15" s="1"/>
    </row>
    <row r="16" spans="1:7" ht="15" customHeight="1" x14ac:dyDescent="0.25">
      <c r="A16" s="1"/>
      <c r="B16" s="56" t="s">
        <v>11</v>
      </c>
      <c r="C16" s="56"/>
      <c r="D16" s="56"/>
      <c r="E16" s="56"/>
      <c r="F16" s="56"/>
      <c r="G16" s="1"/>
    </row>
    <row r="17" spans="1:7" ht="15" customHeight="1" x14ac:dyDescent="0.25">
      <c r="A17" s="1"/>
      <c r="B17" s="57" t="s">
        <v>11</v>
      </c>
      <c r="C17" s="57"/>
      <c r="D17" s="57"/>
      <c r="E17" s="9">
        <f>'Fane 4. Ikke-påvirkelige omk.'!C14</f>
        <v>1906957.4302180801</v>
      </c>
      <c r="F17" s="57" t="s">
        <v>3</v>
      </c>
      <c r="G17" s="1"/>
    </row>
    <row r="18" spans="1:7" ht="15" customHeight="1" x14ac:dyDescent="0.25">
      <c r="A18" s="1"/>
      <c r="B18" s="56" t="s">
        <v>36</v>
      </c>
      <c r="C18" s="56"/>
      <c r="D18" s="56"/>
      <c r="E18" s="56"/>
      <c r="F18" s="56"/>
      <c r="G18" s="1"/>
    </row>
    <row r="19" spans="1:7" ht="15" customHeight="1" x14ac:dyDescent="0.25">
      <c r="A19" s="1"/>
      <c r="B19" s="24" t="s">
        <v>33</v>
      </c>
      <c r="C19" s="53"/>
      <c r="D19" s="53"/>
      <c r="E19" s="8">
        <f>'Fane 8.2. Engangstillæg'!C11</f>
        <v>0</v>
      </c>
      <c r="F19" s="53" t="s">
        <v>3</v>
      </c>
      <c r="G19" s="1"/>
    </row>
    <row r="20" spans="1:7" x14ac:dyDescent="0.25">
      <c r="A20" s="1"/>
      <c r="B20" s="24" t="s">
        <v>34</v>
      </c>
      <c r="C20" s="53"/>
      <c r="D20" s="53"/>
      <c r="E20" s="8">
        <f>'Fane 8.2. Engangstillæg'!E11</f>
        <v>0</v>
      </c>
      <c r="F20" s="53" t="s">
        <v>3</v>
      </c>
      <c r="G20" s="1"/>
    </row>
    <row r="21" spans="1:7" x14ac:dyDescent="0.25">
      <c r="A21" s="1"/>
      <c r="B21" s="24" t="s">
        <v>106</v>
      </c>
      <c r="C21" s="53"/>
      <c r="D21" s="53"/>
      <c r="E21" s="8">
        <f>-SUM(E19:E20)*'Fane 11. Nøgletal'!C20</f>
        <v>0</v>
      </c>
      <c r="F21" s="53" t="s">
        <v>3</v>
      </c>
      <c r="G21" s="1"/>
    </row>
    <row r="22" spans="1:7" ht="15" customHeight="1" x14ac:dyDescent="0.25">
      <c r="A22" s="1"/>
      <c r="B22" s="66" t="s">
        <v>37</v>
      </c>
      <c r="C22" s="28"/>
      <c r="D22" s="28"/>
      <c r="E22" s="9">
        <f>SUM(E19:E21)</f>
        <v>0</v>
      </c>
      <c r="F22" s="57" t="s">
        <v>3</v>
      </c>
      <c r="G22" s="1"/>
    </row>
    <row r="23" spans="1:7" x14ac:dyDescent="0.25">
      <c r="A23" s="1"/>
      <c r="B23" s="56" t="s">
        <v>62</v>
      </c>
      <c r="C23" s="56"/>
      <c r="D23" s="56"/>
      <c r="E23" s="56"/>
      <c r="F23" s="56"/>
      <c r="G23" s="1"/>
    </row>
    <row r="24" spans="1:7" x14ac:dyDescent="0.25">
      <c r="A24" s="1"/>
      <c r="B24" s="66" t="s">
        <v>63</v>
      </c>
      <c r="C24" s="31"/>
      <c r="D24" s="31"/>
      <c r="E24" s="9">
        <f>'Fane 5. Kontrol af ØR2021'!E30</f>
        <v>0</v>
      </c>
      <c r="F24" s="57" t="s">
        <v>3</v>
      </c>
      <c r="G24" s="1"/>
    </row>
    <row r="25" spans="1:7" x14ac:dyDescent="0.25">
      <c r="A25" s="1"/>
      <c r="B25" s="56" t="s">
        <v>75</v>
      </c>
      <c r="C25" s="56"/>
      <c r="D25" s="56"/>
      <c r="E25" s="56"/>
      <c r="F25" s="56"/>
      <c r="G25" s="1"/>
    </row>
    <row r="26" spans="1:7" x14ac:dyDescent="0.25">
      <c r="A26" s="1"/>
      <c r="B26" s="57" t="s">
        <v>76</v>
      </c>
      <c r="C26" s="57"/>
      <c r="D26" s="57"/>
      <c r="E26" s="9">
        <f>'Fane 6. Skattesagen'!G12</f>
        <v>0</v>
      </c>
      <c r="F26" s="57" t="s">
        <v>3</v>
      </c>
      <c r="G26" s="1"/>
    </row>
    <row r="27" spans="1:7" x14ac:dyDescent="0.25">
      <c r="A27" s="1"/>
      <c r="B27" s="56" t="s">
        <v>39</v>
      </c>
      <c r="C27" s="56"/>
      <c r="D27" s="56"/>
      <c r="E27" s="10">
        <f>SUM(E15:E17:E22:E24:E26)</f>
        <v>7615352.389439702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jMJt39HgDUl03UaOxhxrXb3PCt1HKVVJB5EwmT2RRZMEwcQBq92QaLRZ+lrru9r9IVe4xZkycp6WkMAIWUMqbw==" saltValue="gwqOCp7xTAd2GDk5LZerj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56</v>
      </c>
      <c r="C8" s="53"/>
      <c r="D8" s="53"/>
      <c r="E8" s="7">
        <f>'Fane 2.1. Økonomisk ramme 2023'!E15</f>
        <v>5708394.959221622</v>
      </c>
      <c r="F8" s="53" t="s">
        <v>3</v>
      </c>
      <c r="G8" s="1"/>
    </row>
    <row r="9" spans="1:7" ht="15" customHeight="1" x14ac:dyDescent="0.25">
      <c r="A9" s="1"/>
      <c r="B9" s="54" t="s">
        <v>17</v>
      </c>
      <c r="C9" s="53"/>
      <c r="D9" s="53"/>
      <c r="E9" s="8">
        <f>SUM(E8:E8)*'Fane 11. Nøgletal'!C15</f>
        <v>203218.86054828975</v>
      </c>
      <c r="F9" s="53" t="s">
        <v>3</v>
      </c>
      <c r="G9" s="1"/>
    </row>
    <row r="10" spans="1:7" ht="15" customHeight="1" x14ac:dyDescent="0.25">
      <c r="A10" s="1"/>
      <c r="B10" s="54" t="s">
        <v>44</v>
      </c>
      <c r="C10" s="53"/>
      <c r="D10" s="53"/>
      <c r="E10" s="8">
        <f>-SUM(E8:E9)*'Fane 11. Nøgletal'!C20</f>
        <v>-100497.4349360885</v>
      </c>
      <c r="F10" s="53" t="s">
        <v>3</v>
      </c>
      <c r="G10" s="1"/>
    </row>
    <row r="11" spans="1:7" ht="15" customHeight="1" x14ac:dyDescent="0.25">
      <c r="A11" s="1"/>
      <c r="B11" s="28" t="s">
        <v>19</v>
      </c>
      <c r="C11" s="28"/>
      <c r="D11" s="28"/>
      <c r="E11" s="9">
        <f>SUM(E8:E10)</f>
        <v>5811116.384833823</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f>
        <v>1974845.1147338438</v>
      </c>
      <c r="F13" s="57" t="s">
        <v>3</v>
      </c>
      <c r="G13" s="1"/>
    </row>
    <row r="14" spans="1:7" x14ac:dyDescent="0.25">
      <c r="A14" s="1"/>
      <c r="B14" s="56" t="s">
        <v>62</v>
      </c>
      <c r="C14" s="56"/>
      <c r="D14" s="56"/>
      <c r="E14" s="56"/>
      <c r="F14" s="56"/>
      <c r="G14" s="1"/>
    </row>
    <row r="15" spans="1:7" x14ac:dyDescent="0.25">
      <c r="A15" s="1"/>
      <c r="B15" s="57" t="s">
        <v>77</v>
      </c>
      <c r="C15" s="32"/>
      <c r="D15" s="32"/>
      <c r="E15" s="9">
        <f>'Fane 5. Kontrol af ØR2021'!E30</f>
        <v>0</v>
      </c>
      <c r="F15" s="57" t="s">
        <v>3</v>
      </c>
      <c r="G15" s="1"/>
    </row>
    <row r="16" spans="1:7" x14ac:dyDescent="0.25">
      <c r="A16" s="1"/>
      <c r="B16" s="56" t="s">
        <v>75</v>
      </c>
      <c r="C16" s="56"/>
      <c r="D16" s="56"/>
      <c r="E16" s="56"/>
      <c r="F16" s="56"/>
      <c r="G16" s="1"/>
    </row>
    <row r="17" spans="1:7" x14ac:dyDescent="0.25">
      <c r="A17" s="1"/>
      <c r="B17" s="57" t="s">
        <v>76</v>
      </c>
      <c r="C17" s="57"/>
      <c r="D17" s="57"/>
      <c r="E17" s="9">
        <f>'Fane 6. Skattesagen'!G13</f>
        <v>0</v>
      </c>
      <c r="F17" s="57" t="s">
        <v>3</v>
      </c>
      <c r="G17" s="1"/>
    </row>
    <row r="18" spans="1:7" x14ac:dyDescent="0.25">
      <c r="A18" s="1"/>
      <c r="B18" s="56" t="s">
        <v>57</v>
      </c>
      <c r="C18" s="56"/>
      <c r="D18" s="56"/>
      <c r="E18" s="10">
        <f>SUM(E11,E13,E15,E17)</f>
        <v>7785961.499567667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OoB61o9P9y8Re9Aj1dKFQEyWccBWLdw2wuA6jDFhV7oLWtAoUDpHPt3f9RQ+iFCKpi4m6YpE3wXKh7dBBuAMIw==" saltValue="YpEWmJZhMP50Se1Hgb4N5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65</v>
      </c>
      <c r="C8" s="53"/>
      <c r="D8" s="53"/>
      <c r="E8" s="7">
        <f>'Fane 2.2. Økonomisk ramme 2024'!E11</f>
        <v>5811116.384833823</v>
      </c>
      <c r="F8" s="53" t="s">
        <v>3</v>
      </c>
      <c r="G8" s="1"/>
    </row>
    <row r="9" spans="1:7" ht="15" customHeight="1" x14ac:dyDescent="0.25">
      <c r="A9" s="1"/>
      <c r="B9" s="54" t="s">
        <v>17</v>
      </c>
      <c r="C9" s="53"/>
      <c r="D9" s="53"/>
      <c r="E9" s="8">
        <f>SUM(E8:E8)*'Fane 11. Nøgletal'!C15</f>
        <v>206875.74330008408</v>
      </c>
      <c r="F9" s="53" t="s">
        <v>3</v>
      </c>
      <c r="G9" s="1"/>
    </row>
    <row r="10" spans="1:7" ht="15" customHeight="1" x14ac:dyDescent="0.25">
      <c r="A10" s="1"/>
      <c r="B10" s="54" t="s">
        <v>44</v>
      </c>
      <c r="C10" s="53"/>
      <c r="D10" s="53"/>
      <c r="E10" s="8">
        <f>-SUM(E8:E9)*'Fane 11. Nøgletal'!C20</f>
        <v>-102305.86617827642</v>
      </c>
      <c r="F10" s="53" t="s">
        <v>3</v>
      </c>
      <c r="G10" s="1"/>
    </row>
    <row r="11" spans="1:7" x14ac:dyDescent="0.25">
      <c r="A11" s="1"/>
      <c r="B11" s="28" t="s">
        <v>19</v>
      </c>
      <c r="C11" s="28"/>
      <c r="D11" s="28"/>
      <c r="E11" s="9">
        <f>SUM(E8:E10)</f>
        <v>5915686.261955631</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Nøgletal'!C15)^2</f>
        <v>2045149.6008183686</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Skattesagen'!G14</f>
        <v>0</v>
      </c>
      <c r="F17" s="57" t="s">
        <v>3</v>
      </c>
      <c r="G17" s="1"/>
    </row>
    <row r="18" spans="1:7" x14ac:dyDescent="0.25">
      <c r="A18" s="1"/>
      <c r="B18" s="56" t="s">
        <v>66</v>
      </c>
      <c r="C18" s="56"/>
      <c r="D18" s="56"/>
      <c r="E18" s="10">
        <f>SUM(E11,E13,E15,E17)</f>
        <v>7960835.8627739996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Wx9Pa5EMq3jZGjnxarKzLv0FB4sTBjyrmAiG463z/NlxmPAZ/BaUM1j9gst2sRGcnkdf4lK7Up5YFNY4jKcg==" saltValue="xC4uaLmoVUTc0O+Km7e24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86</v>
      </c>
      <c r="C8" s="53"/>
      <c r="D8" s="53"/>
      <c r="E8" s="7">
        <f>'Fane 2.3. Økonomisk ramme 2025'!E11</f>
        <v>5915686.261955631</v>
      </c>
      <c r="F8" s="53" t="s">
        <v>3</v>
      </c>
      <c r="G8" s="1"/>
    </row>
    <row r="9" spans="1:7" ht="15" customHeight="1" x14ac:dyDescent="0.25">
      <c r="A9" s="1"/>
      <c r="B9" s="54" t="s">
        <v>17</v>
      </c>
      <c r="C9" s="53"/>
      <c r="D9" s="53"/>
      <c r="E9" s="8">
        <f>SUM(E8:E8)*'Fane 11. Nøgletal'!C15</f>
        <v>210598.43092562046</v>
      </c>
      <c r="F9" s="53" t="s">
        <v>3</v>
      </c>
      <c r="G9" s="1"/>
    </row>
    <row r="10" spans="1:7" ht="15" customHeight="1" x14ac:dyDescent="0.25">
      <c r="A10" s="1"/>
      <c r="B10" s="54" t="s">
        <v>44</v>
      </c>
      <c r="C10" s="53"/>
      <c r="D10" s="53"/>
      <c r="E10" s="8">
        <f>-SUM(E8:E9)*'Fane 11. Nøgletal'!C20</f>
        <v>-104146.83977898129</v>
      </c>
      <c r="F10" s="53" t="s">
        <v>3</v>
      </c>
      <c r="G10" s="1"/>
    </row>
    <row r="11" spans="1:7" x14ac:dyDescent="0.25">
      <c r="A11" s="1"/>
      <c r="B11" s="28" t="s">
        <v>19</v>
      </c>
      <c r="C11" s="28"/>
      <c r="D11" s="28"/>
      <c r="E11" s="9">
        <f>SUM(E8:E10)</f>
        <v>6022137.8531022705</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Nøgletal'!C15)^3</f>
        <v>2117956.9266075026</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Skattesagen'!G15</f>
        <v>0</v>
      </c>
      <c r="F17" s="57" t="s">
        <v>3</v>
      </c>
      <c r="G17" s="1"/>
    </row>
    <row r="18" spans="1:7" x14ac:dyDescent="0.25">
      <c r="A18" s="1"/>
      <c r="B18" s="56" t="s">
        <v>87</v>
      </c>
      <c r="C18" s="56"/>
      <c r="D18" s="56"/>
      <c r="E18" s="10">
        <f>SUM(E11,E13,E15,E17)</f>
        <v>8140094.7797097731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PjXSRdR7jeV+Bp+stbqvALd7SZc/pVU/Zd8mCdxjMB3WjPcnr1NoDiLkeWxg+IisM/pUtAJRS2a4njP5jgbCfw==" saltValue="kANpiADWhdzDXwqR3YVzZ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88</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89</v>
      </c>
      <c r="C8" s="56"/>
      <c r="D8" s="56"/>
      <c r="E8" s="56"/>
      <c r="F8" s="56"/>
      <c r="G8" s="1"/>
    </row>
    <row r="9" spans="1:7" x14ac:dyDescent="0.25">
      <c r="A9" s="1"/>
      <c r="B9" s="107" t="s">
        <v>22</v>
      </c>
      <c r="C9" s="107"/>
      <c r="D9" s="107"/>
      <c r="E9" s="7">
        <v>5635709.562639636</v>
      </c>
      <c r="F9" s="53" t="s">
        <v>3</v>
      </c>
      <c r="G9" s="1"/>
    </row>
    <row r="10" spans="1:7" x14ac:dyDescent="0.25">
      <c r="A10" s="1"/>
      <c r="B10" s="108" t="s">
        <v>103</v>
      </c>
      <c r="C10" s="109"/>
      <c r="D10" s="110"/>
      <c r="E10" s="7">
        <v>0</v>
      </c>
      <c r="F10" s="53" t="s">
        <v>3</v>
      </c>
      <c r="G10" s="1"/>
    </row>
    <row r="11" spans="1:7" x14ac:dyDescent="0.25">
      <c r="A11" s="1"/>
      <c r="B11" s="93" t="s">
        <v>50</v>
      </c>
      <c r="C11" s="93"/>
      <c r="D11" s="93"/>
      <c r="E11" s="7">
        <v>0</v>
      </c>
      <c r="F11" s="53" t="s">
        <v>3</v>
      </c>
      <c r="G11" s="1"/>
    </row>
    <row r="12" spans="1:7" x14ac:dyDescent="0.25">
      <c r="A12" s="1"/>
      <c r="B12" s="93" t="s">
        <v>54</v>
      </c>
      <c r="C12" s="93"/>
      <c r="D12" s="93"/>
      <c r="E12" s="7">
        <v>0</v>
      </c>
      <c r="F12" s="53" t="s">
        <v>3</v>
      </c>
      <c r="G12" s="1"/>
    </row>
    <row r="13" spans="1:7" x14ac:dyDescent="0.25">
      <c r="A13" s="1"/>
      <c r="B13" s="93" t="s">
        <v>51</v>
      </c>
      <c r="C13" s="93"/>
      <c r="D13" s="93"/>
      <c r="E13" s="8">
        <v>0</v>
      </c>
      <c r="F13" s="53" t="s">
        <v>3</v>
      </c>
      <c r="G13" s="1"/>
    </row>
    <row r="14" spans="1:7" x14ac:dyDescent="0.25">
      <c r="A14" s="1"/>
      <c r="B14" s="93" t="s">
        <v>17</v>
      </c>
      <c r="C14" s="93"/>
      <c r="D14" s="93"/>
      <c r="E14" s="8">
        <f>E9*'Fane 11. Nøgletal'!C13+SUM(E11:E13)*'Fane 11. Nøgletal'!C14</f>
        <v>68755.656664203561</v>
      </c>
      <c r="F14" s="53" t="s">
        <v>3</v>
      </c>
      <c r="G14" s="1"/>
    </row>
    <row r="15" spans="1:7" x14ac:dyDescent="0.25">
      <c r="A15" s="1"/>
      <c r="B15" s="93" t="s">
        <v>44</v>
      </c>
      <c r="C15" s="93"/>
      <c r="D15" s="93"/>
      <c r="E15" s="8">
        <f>-SUM(E9:E14)*'Fane 11. Nøgletal'!C20</f>
        <v>-96975.90872816529</v>
      </c>
      <c r="F15" s="53" t="s">
        <v>3</v>
      </c>
      <c r="G15" s="1"/>
    </row>
    <row r="16" spans="1:7" x14ac:dyDescent="0.25">
      <c r="A16" s="1"/>
      <c r="B16" s="94" t="s">
        <v>19</v>
      </c>
      <c r="C16" s="94"/>
      <c r="D16" s="94"/>
      <c r="E16" s="33">
        <f>SUM(E9:E15)</f>
        <v>5607489.3105756743</v>
      </c>
      <c r="F16" s="34" t="s">
        <v>3</v>
      </c>
      <c r="G16" s="1"/>
    </row>
    <row r="17" spans="1:7" x14ac:dyDescent="0.25">
      <c r="A17" s="1"/>
      <c r="B17" s="95" t="s">
        <v>11</v>
      </c>
      <c r="C17" s="95"/>
      <c r="D17" s="95"/>
      <c r="E17" s="56"/>
      <c r="F17" s="56"/>
      <c r="G17" s="1"/>
    </row>
    <row r="18" spans="1:7" x14ac:dyDescent="0.25">
      <c r="A18" s="1"/>
      <c r="B18" s="96" t="s">
        <v>11</v>
      </c>
      <c r="C18" s="96"/>
      <c r="D18" s="96"/>
      <c r="E18" s="9">
        <v>1685157.2248401002</v>
      </c>
      <c r="F18" s="57" t="s">
        <v>3</v>
      </c>
      <c r="G18" s="1"/>
    </row>
    <row r="19" spans="1:7" ht="15.4" customHeight="1" x14ac:dyDescent="0.25">
      <c r="A19" s="1"/>
      <c r="B19" s="56" t="s">
        <v>36</v>
      </c>
      <c r="C19" s="56"/>
      <c r="D19" s="56"/>
      <c r="E19" s="56"/>
      <c r="F19" s="56"/>
      <c r="G19" s="1"/>
    </row>
    <row r="20" spans="1:7" ht="15.75" customHeight="1" x14ac:dyDescent="0.25">
      <c r="A20" s="1"/>
      <c r="B20" s="97" t="s">
        <v>33</v>
      </c>
      <c r="C20" s="98"/>
      <c r="D20" s="99"/>
      <c r="E20" s="74">
        <v>0</v>
      </c>
      <c r="F20" s="27" t="s">
        <v>3</v>
      </c>
      <c r="G20" s="1"/>
    </row>
    <row r="21" spans="1:7" x14ac:dyDescent="0.25">
      <c r="A21" s="1"/>
      <c r="B21" s="97" t="s">
        <v>34</v>
      </c>
      <c r="C21" s="98"/>
      <c r="D21" s="99"/>
      <c r="E21" s="74">
        <v>0</v>
      </c>
      <c r="F21" s="27" t="s">
        <v>3</v>
      </c>
      <c r="G21" s="1"/>
    </row>
    <row r="22" spans="1:7" x14ac:dyDescent="0.25">
      <c r="A22" s="1"/>
      <c r="B22" s="100" t="s">
        <v>37</v>
      </c>
      <c r="C22" s="101"/>
      <c r="D22" s="102"/>
      <c r="E22" s="9">
        <f>SUM(E20:E21)</f>
        <v>0</v>
      </c>
      <c r="F22" s="9" t="s">
        <v>3</v>
      </c>
      <c r="G22" s="1"/>
    </row>
    <row r="23" spans="1:7" ht="15.75" customHeight="1" x14ac:dyDescent="0.25">
      <c r="A23" s="1"/>
      <c r="B23" s="56" t="s">
        <v>62</v>
      </c>
      <c r="C23" s="56"/>
      <c r="D23" s="56"/>
      <c r="E23" s="56"/>
      <c r="F23" s="56"/>
      <c r="G23" s="1"/>
    </row>
    <row r="24" spans="1:7" x14ac:dyDescent="0.25">
      <c r="A24" s="1"/>
      <c r="B24" s="66" t="s">
        <v>27</v>
      </c>
      <c r="C24" s="28"/>
      <c r="D24" s="28"/>
      <c r="E24" s="9">
        <v>-78440.838842764031</v>
      </c>
      <c r="F24" s="57" t="s">
        <v>3</v>
      </c>
      <c r="G24" s="1"/>
    </row>
    <row r="25" spans="1:7" x14ac:dyDescent="0.25">
      <c r="A25" s="1"/>
      <c r="B25" s="66" t="s">
        <v>63</v>
      </c>
      <c r="C25" s="28"/>
      <c r="D25" s="28"/>
      <c r="E25" s="9">
        <v>0</v>
      </c>
      <c r="F25" s="57" t="s">
        <v>3</v>
      </c>
      <c r="G25" s="1"/>
    </row>
    <row r="26" spans="1:7" x14ac:dyDescent="0.25">
      <c r="A26" s="1"/>
      <c r="B26" s="56" t="s">
        <v>75</v>
      </c>
      <c r="C26" s="56"/>
      <c r="D26" s="56"/>
      <c r="E26" s="56"/>
      <c r="F26" s="56"/>
      <c r="G26" s="1"/>
    </row>
    <row r="27" spans="1:7" x14ac:dyDescent="0.25">
      <c r="A27" s="1"/>
      <c r="B27" s="103" t="s">
        <v>76</v>
      </c>
      <c r="C27" s="104"/>
      <c r="D27" s="105"/>
      <c r="E27" s="9">
        <f>'Fane 6. Skattesagen'!G11</f>
        <v>0</v>
      </c>
      <c r="F27" s="57" t="s">
        <v>3</v>
      </c>
      <c r="G27" s="1"/>
    </row>
    <row r="28" spans="1:7" ht="15" customHeight="1" x14ac:dyDescent="0.25">
      <c r="A28" s="1"/>
      <c r="B28" s="35" t="s">
        <v>147</v>
      </c>
      <c r="C28" s="35"/>
      <c r="D28" s="35"/>
      <c r="E28" s="36">
        <f>E16+E18+E22+E24+E25+E27</f>
        <v>7214205.6965730097</v>
      </c>
      <c r="F28" s="37" t="s">
        <v>3</v>
      </c>
      <c r="G28" s="1"/>
    </row>
    <row r="29" spans="1:7" ht="27" customHeight="1" x14ac:dyDescent="0.25">
      <c r="A29" s="1"/>
      <c r="B29" s="92" t="s">
        <v>90</v>
      </c>
      <c r="C29" s="92"/>
      <c r="D29" s="92"/>
      <c r="E29" s="92"/>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9XRGeiHDG/ipbBzSmtvUJ6psyR0zRYYttCd93kmr0SIwFkzpgkKJOD3V1KTw4Vda+mEcwKO+0bEcz8Udvwfx8Q==" saltValue="ucZQv+rrIrZQa5SFsneqf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7" t="s">
        <v>109</v>
      </c>
      <c r="D9" s="57"/>
      <c r="E9" s="1"/>
      <c r="F9" s="1"/>
    </row>
    <row r="10" spans="1:6" x14ac:dyDescent="0.25">
      <c r="A10" s="1"/>
      <c r="B10" s="23" t="s">
        <v>127</v>
      </c>
      <c r="C10" s="8">
        <v>1767643</v>
      </c>
      <c r="D10" s="12" t="s">
        <v>3</v>
      </c>
      <c r="E10" s="1"/>
      <c r="F10" s="1"/>
    </row>
    <row r="11" spans="1:6" x14ac:dyDescent="0.25">
      <c r="A11" s="1"/>
      <c r="B11" s="23" t="s">
        <v>128</v>
      </c>
      <c r="C11" s="8">
        <v>7535</v>
      </c>
      <c r="D11" s="12" t="s">
        <v>3</v>
      </c>
      <c r="E11" s="1"/>
      <c r="F11" s="1"/>
    </row>
    <row r="12" spans="1:6" x14ac:dyDescent="0.25">
      <c r="A12" s="1"/>
      <c r="B12" s="23" t="s">
        <v>129</v>
      </c>
      <c r="C12" s="8">
        <v>2925</v>
      </c>
      <c r="D12" s="12" t="s">
        <v>3</v>
      </c>
      <c r="E12" s="1"/>
      <c r="F12" s="1"/>
    </row>
    <row r="13" spans="1:6" x14ac:dyDescent="0.25">
      <c r="A13" s="1"/>
      <c r="B13" s="72" t="s">
        <v>92</v>
      </c>
      <c r="C13" s="10">
        <f>SUM(C10:C12)</f>
        <v>1778103</v>
      </c>
      <c r="D13" s="11" t="s">
        <v>3</v>
      </c>
      <c r="E13" s="1"/>
      <c r="F13" s="1"/>
    </row>
    <row r="14" spans="1:6" x14ac:dyDescent="0.25">
      <c r="A14" s="1"/>
      <c r="B14" s="72" t="s">
        <v>93</v>
      </c>
      <c r="C14" s="10">
        <f>C13*(1+'Fane 11. Nøgletal'!C15)^2</f>
        <v>1906957.4302180801</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sqjuptANTAxiQ4A5Tnr0+9CIkTeg13UUhTGj3fQ7zsBvqrrlfKpGsv4p9eVbWSXcHrGkNFBGaLcL/T+ADqJHbA==" saltValue="uXY9xBnyGmPEO91yxLi2t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151</v>
      </c>
      <c r="C3" s="106"/>
      <c r="D3" s="106"/>
      <c r="E3" s="106"/>
      <c r="F3" s="106"/>
      <c r="G3" s="1"/>
    </row>
    <row r="4" spans="1:7" ht="15" customHeight="1" x14ac:dyDescent="0.25">
      <c r="A4" s="1"/>
      <c r="B4" s="106"/>
      <c r="C4" s="106"/>
      <c r="D4" s="106"/>
      <c r="E4" s="106"/>
      <c r="F4" s="106"/>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94594.973912298679</v>
      </c>
      <c r="F9" s="12" t="s">
        <v>3</v>
      </c>
      <c r="G9" s="1"/>
    </row>
    <row r="10" spans="1:7" x14ac:dyDescent="0.25">
      <c r="A10" s="1"/>
      <c r="B10" s="118" t="s">
        <v>130</v>
      </c>
      <c r="C10" s="119"/>
      <c r="D10" s="120"/>
      <c r="E10" s="8">
        <v>94594.973912298679</v>
      </c>
      <c r="F10" s="12" t="s">
        <v>3</v>
      </c>
      <c r="G10" s="1"/>
    </row>
    <row r="11" spans="1:7" x14ac:dyDescent="0.25">
      <c r="A11" s="1"/>
      <c r="B11" s="72"/>
      <c r="C11" s="22"/>
      <c r="D11" s="22"/>
      <c r="E11" s="22"/>
      <c r="F11" s="73"/>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131</v>
      </c>
      <c r="C16" s="119"/>
      <c r="D16" s="120"/>
      <c r="E16" s="8">
        <v>0</v>
      </c>
      <c r="F16" s="12" t="s">
        <v>3</v>
      </c>
      <c r="G16" s="1"/>
    </row>
    <row r="17" spans="1:7" x14ac:dyDescent="0.25">
      <c r="A17" s="1"/>
      <c r="B17" s="72"/>
      <c r="C17" s="22"/>
      <c r="D17" s="22"/>
      <c r="E17" s="22"/>
      <c r="F17" s="73"/>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7016802.0684049521</v>
      </c>
      <c r="F21" s="12" t="s">
        <v>3</v>
      </c>
      <c r="G21" s="1"/>
    </row>
    <row r="22" spans="1:7" x14ac:dyDescent="0.25">
      <c r="A22" s="1"/>
      <c r="B22" s="67" t="s">
        <v>132</v>
      </c>
      <c r="C22" s="68"/>
      <c r="D22" s="69"/>
      <c r="E22" s="8">
        <v>7098458</v>
      </c>
      <c r="F22" s="12" t="s">
        <v>3</v>
      </c>
      <c r="G22" s="1"/>
    </row>
    <row r="23" spans="1:7" x14ac:dyDescent="0.25">
      <c r="A23" s="1"/>
      <c r="B23" s="67" t="s">
        <v>26</v>
      </c>
      <c r="C23" s="68"/>
      <c r="D23" s="69"/>
      <c r="E23" s="8">
        <v>0</v>
      </c>
      <c r="F23" s="12" t="s">
        <v>3</v>
      </c>
      <c r="G23" s="1"/>
    </row>
    <row r="24" spans="1:7" x14ac:dyDescent="0.25">
      <c r="A24" s="1"/>
      <c r="B24" s="58" t="s">
        <v>150</v>
      </c>
      <c r="C24" s="59"/>
      <c r="D24" s="60"/>
      <c r="E24" s="50">
        <f>E21-(E22-E23)</f>
        <v>-81655.931595047936</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133</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gmnJRdJLKKBd9XA0v647wOIqDTZ/02bExcvgIwPlxeftOH4tajCLPYJ7t0hhN+MGWEs8vR1+iRoixMoCPCgl9w==" saltValue="6jPatujde4szWTryVSfpG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3" t="s">
        <v>124</v>
      </c>
      <c r="C9" s="104"/>
      <c r="D9" s="104"/>
      <c r="E9" s="104"/>
      <c r="F9" s="104"/>
      <c r="G9" s="104"/>
      <c r="H9" s="105"/>
      <c r="I9" s="1"/>
    </row>
    <row r="10" spans="1:9" x14ac:dyDescent="0.25">
      <c r="A10" s="1"/>
      <c r="B10" s="108" t="s">
        <v>139</v>
      </c>
      <c r="C10" s="109"/>
      <c r="D10" s="109"/>
      <c r="E10" s="109"/>
      <c r="F10" s="110"/>
      <c r="G10" s="51">
        <v>0</v>
      </c>
      <c r="H10" s="8" t="s">
        <v>3</v>
      </c>
      <c r="I10" s="1"/>
    </row>
    <row r="11" spans="1:9" x14ac:dyDescent="0.25">
      <c r="A11" s="1"/>
      <c r="B11" s="108" t="s">
        <v>140</v>
      </c>
      <c r="C11" s="109"/>
      <c r="D11" s="109"/>
      <c r="E11" s="109"/>
      <c r="F11" s="110"/>
      <c r="G11" s="51">
        <v>0</v>
      </c>
      <c r="H11" s="8" t="s">
        <v>3</v>
      </c>
      <c r="I11" s="1"/>
    </row>
    <row r="12" spans="1:9" x14ac:dyDescent="0.25">
      <c r="A12" s="1"/>
      <c r="B12" s="108" t="s">
        <v>141</v>
      </c>
      <c r="C12" s="109"/>
      <c r="D12" s="109"/>
      <c r="E12" s="109"/>
      <c r="F12" s="110"/>
      <c r="G12" s="8">
        <v>0</v>
      </c>
      <c r="H12" s="8" t="s">
        <v>3</v>
      </c>
      <c r="I12" s="1"/>
    </row>
    <row r="13" spans="1:9" x14ac:dyDescent="0.25">
      <c r="A13" s="1"/>
      <c r="B13" s="108" t="s">
        <v>142</v>
      </c>
      <c r="C13" s="109"/>
      <c r="D13" s="109"/>
      <c r="E13" s="109"/>
      <c r="F13" s="110"/>
      <c r="G13" s="8">
        <v>0</v>
      </c>
      <c r="H13" s="8" t="s">
        <v>3</v>
      </c>
      <c r="I13" s="1"/>
    </row>
    <row r="14" spans="1:9" x14ac:dyDescent="0.25">
      <c r="A14" s="1"/>
      <c r="B14" s="108" t="s">
        <v>143</v>
      </c>
      <c r="C14" s="109"/>
      <c r="D14" s="109"/>
      <c r="E14" s="109"/>
      <c r="F14" s="110"/>
      <c r="G14" s="8">
        <v>0</v>
      </c>
      <c r="H14" s="8" t="s">
        <v>3</v>
      </c>
      <c r="I14" s="1"/>
    </row>
    <row r="15" spans="1:9" x14ac:dyDescent="0.25">
      <c r="A15" s="1"/>
      <c r="B15" s="108" t="s">
        <v>144</v>
      </c>
      <c r="C15" s="109"/>
      <c r="D15" s="109"/>
      <c r="E15" s="109"/>
      <c r="F15" s="110"/>
      <c r="G15" s="8">
        <v>0</v>
      </c>
      <c r="H15" s="8" t="s">
        <v>3</v>
      </c>
      <c r="I15" s="1"/>
    </row>
    <row r="16" spans="1:9" x14ac:dyDescent="0.25">
      <c r="A16" s="1"/>
      <c r="B16" s="108" t="s">
        <v>145</v>
      </c>
      <c r="C16" s="109"/>
      <c r="D16" s="109"/>
      <c r="E16" s="109"/>
      <c r="F16" s="110"/>
      <c r="G16" s="8">
        <v>0</v>
      </c>
      <c r="H16" s="8" t="s">
        <v>3</v>
      </c>
      <c r="I16" s="1"/>
    </row>
    <row r="17" spans="1:9" x14ac:dyDescent="0.25">
      <c r="A17" s="1"/>
      <c r="B17" s="108" t="s">
        <v>146</v>
      </c>
      <c r="C17" s="109"/>
      <c r="D17" s="109"/>
      <c r="E17" s="109"/>
      <c r="F17" s="110"/>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7MUZRGY7tqRbx5lchgBDn8xw3+/P7Njw5brYm0KiU3prJ8LORXv8mL7WE9RhUbQnud5mKV/vfa9n9Ba8+VSgJg==" saltValue="6vcaiBRcpkLX/EzK/fYXU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2022-08-29T10:35:18Z</dcterms:modified>
</cp:coreProperties>
</file>