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Rudersdal AS (S08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6" i="40" l="1"/>
  <c r="E12" i="40"/>
  <c r="C15" i="19" l="1"/>
  <c r="E18" i="27" l="1"/>
  <c r="G26" i="30" l="1"/>
  <c r="E29" i="32" l="1"/>
  <c r="E33" i="32" s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13" i="11" l="1"/>
  <c r="E14" i="11"/>
  <c r="E10" i="11"/>
  <c r="E15" i="11" l="1"/>
  <c r="G7" i="30"/>
  <c r="E29" i="20" l="1"/>
  <c r="E23" i="20"/>
  <c r="E17" i="20"/>
  <c r="E11" i="20"/>
  <c r="E12" i="20" s="1"/>
  <c r="E21" i="32" l="1"/>
  <c r="E12" i="32"/>
  <c r="E17" i="40" l="1"/>
  <c r="C34" i="2" s="1"/>
  <c r="E28" i="20" l="1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7" i="39"/>
  <c r="C37" i="39"/>
  <c r="E29" i="39"/>
  <c r="C29" i="39"/>
  <c r="E21" i="39"/>
  <c r="C21" i="39"/>
  <c r="E13" i="39"/>
  <c r="C13" i="39"/>
  <c r="E15" i="39" l="1"/>
  <c r="E14" i="39"/>
  <c r="C23" i="39"/>
  <c r="C22" i="39"/>
  <c r="C39" i="39"/>
  <c r="C38" i="39"/>
  <c r="E23" i="39"/>
  <c r="E22" i="39"/>
  <c r="E39" i="39"/>
  <c r="E38" i="39"/>
  <c r="C15" i="39"/>
  <c r="C14" i="39"/>
  <c r="C31" i="39"/>
  <c r="C30" i="39"/>
  <c r="E31" i="39"/>
  <c r="E30" i="39"/>
  <c r="C24" i="39" l="1"/>
  <c r="C22" i="15" s="1"/>
  <c r="C32" i="39"/>
  <c r="C21" i="22" s="1"/>
  <c r="C40" i="39"/>
  <c r="C21" i="23" s="1"/>
  <c r="E24" i="39"/>
  <c r="C23" i="15" s="1"/>
  <c r="E32" i="39"/>
  <c r="C22" i="22" s="1"/>
  <c r="E40" i="39"/>
  <c r="C22" i="23" s="1"/>
  <c r="E16" i="39"/>
  <c r="C31" i="2" s="1"/>
  <c r="C16" i="39"/>
  <c r="C30" i="2" s="1"/>
  <c r="C23" i="22" l="1"/>
  <c r="C23" i="23"/>
  <c r="C24" i="15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15" i="11"/>
  <c r="C10" i="37" s="1"/>
  <c r="C13" i="37" s="1"/>
  <c r="C14" i="37" s="1"/>
  <c r="C14" i="2" s="1"/>
  <c r="G15" i="11"/>
  <c r="E11" i="21" l="1"/>
  <c r="C11" i="21"/>
  <c r="E11" i="29"/>
  <c r="C11" i="29"/>
  <c r="C16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3" i="37" s="1"/>
  <c r="E14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<sst xmlns="http://schemas.openxmlformats.org/spreadsheetml/2006/main" count="723" uniqueCount="290">
  <si>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</si>
  <si>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</si>
  <si>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</si>
  <si>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</si>
  <si>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</si>
  <si>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</si>
  <si>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</si>
  <si>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</si>
  <si>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</si>
  <si>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</si>
  <si>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</si>
  <si>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</si>
  <si>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</si>
  <si>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</si>
  <si>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</si>
  <si>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</si>
  <si>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</si>
  <si>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</si>
  <si>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</si>
  <si>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</si>
  <si>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</si>
  <si>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</si>
  <si>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</si>
  <si>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</si>
  <si>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</si>
  <si>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</si>
  <si>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</si>
  <si>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</si>
  <si>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</si>
  <si>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</si>
  <si>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</si>
  <si>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</si>
  <si>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</si>
  <si>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</si>
  <si>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</si>
  <si>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</si>
  <si>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</si>
  <si>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</si>
  <si>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</si>
  <si>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</si>
  <si>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</si>
  <si>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</si>
  <si>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</si>
  <si>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</si>
  <si>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</si>
  <si>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</si>
  <si>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</si>
  <si>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</si>
  <si>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</si>
  <si>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</si>
  <si>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</si>
  <si>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</si>
  <si>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</si>
  <si>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</si>
  <si>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</si>
  <si>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</si>
  <si>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</si>
  <si>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</si>
  <si>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</si>
  <si>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</si>
  <si>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</si>
  <si>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</si>
  <si>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</si>
  <si>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</si>
  <si>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</si>
  <si>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</si>
  <si>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</si>
  <si>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</si>
  <si>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</si>
  <si>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</si>
  <si>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</si>
  <si>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</si>
  <si>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</si>
  <si>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</si>
  <si>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</si>
  <si>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</si>
  <si>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</si>
  <si>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</si>
  <si>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</si>
  <si>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</si>
  <si>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</si>
  <si>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</si>
  <si>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</si>
  <si>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</si>
  <si>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</si>
  <si>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</si>
  <si>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</si>
  <si>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</si>
  <si>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</si>
  <si>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</si>
  <si>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</si>
  <si>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</si>
  <si>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</si>
  <si>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</si>
  <si>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</si>
  <si>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</si>
  <si>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</si>
  <si>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</si>
  <si>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</si>
  <si>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</si>
  <si>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</si>
  <si>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</si>
  <si>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</si>
  <si>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</si>
  <si>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</si>
  <si>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</si>
  <si>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</si>
  <si>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</si>
  <si>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</si>
  <si>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</si>
  <si>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</si>
  <si>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</si>
  <si>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</si>
  <si>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</si>
  <si>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</si>
  <si>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</si>
  <si>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</si>
  <si>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</si>
  <si>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</si>
  <si>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</si>
  <si>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</si>
  <si>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</si>
  <si>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</si>
  <si>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</si>
  <si>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</si>
  <si>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</si>
  <si>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</si>
  <si>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</si>
  <si>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</si>
  <si>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</si>
  <si>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</si>
  <si>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</si>
  <si>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</si>
  <si>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</si>
  <si>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</si>
  <si>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</si>
  <si>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</si>
  <si>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</si>
  <si>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</si>
  <si>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</si>
  <si>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</si>
  <si>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</si>
  <si>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</si>
  <si>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</si>
  <si>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</si>
  <si>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</si>
  <si>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</si>
  <si>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</si>
  <si>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</si>
  <si>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</si>
  <si>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</si>
  <si>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</si>
  <si>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</si>
  <si>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</si>
  <si>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</si>
  <si>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</si>
  <si>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</si>
  <si>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</si>
  <si>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</si>
  <si>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</si>
  <si>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</si>
  <si>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</si>
  <si>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</si>
  <si>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</si>
  <si>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</si>
  <si>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</si>
  <si>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</si>
  <si>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</si>
  <si>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</si>
  <si>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</si>
  <si>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</si>
  <si>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</si>
  <si>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</si>
  <si>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</si>
  <si>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</si>
  <si>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</si>
  <si>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</si>
  <si>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</si>
  <si>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</si>
  <si>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</si>
  <si>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</si>
  <si>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</si>
  <si>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</si>
  <si>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</si>
  <si>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</si>
  <si>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</si>
  <si>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</si>
  <si>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</si>
  <si>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</si>
  <si>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</si>
  <si>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</si>
  <si>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</si>
  <si>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</si>
  <si>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</si>
  <si>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</si>
  <si>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</si>
  <si>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</si>
  <si>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</si>
  <si>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</si>
  <si>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</si>
  <si>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</si>
  <si>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</si>
  <si>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</si>
  <si>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</si>
  <si>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</si>
  <si>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</si>
  <si>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</si>
  <si>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</si>
  <si>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</si>
  <si>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</si>
  <si>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</si>
  <si>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</si>
  <si>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</si>
  <si>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</si>
  <si>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</si>
  <si>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</si>
  <si>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</si>
  <si>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</si>
  <si>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</si>
  <si>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</si>
  <si>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</si>
  <si>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</si>
  <si>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</si>
  <si>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</si>
  <si>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</si>
  <si>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</si>
  <si>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</si>
  <si>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</si>
  <si>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</si>
  <si>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</si>
  <si>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</si>
  <si>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</si>
  <si>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</si>
  <si>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</si>
  <si>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</si>
  <si>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</si>
  <si>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</si>
  <si>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</si>
  <si>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</si>
  <si>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</si>
  <si>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</si>
  <si>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</si>
  <si>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</si>
  <si>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</si>
  <si>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</si>
  <si>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</si>
  <si>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</si>
  <si>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</si>
  <si>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</si>
  <si>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</si>
  <si>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</si>
  <si>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</si>
  <si>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</si>
  <si>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</si>
  <si>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</si>
  <si>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</si>
  <si>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</si>
  <si>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</si>
  <si>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</si>
  <si>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</si>
  <si>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</si>
  <si>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</si>
  <si>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</si>
  <si>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</si>
  <si>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</si>
  <si>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</si>
  <si>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</si>
  <si>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</si>
  <si>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</si>
  <si>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</si>
  <si>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</si>
  <si>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</si>
  <si>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</si>
  <si>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</si>
  <si>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</si>
  <si>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Ingen tilknyttet virksomhed</t>
  </si>
  <si>
    <t>Ingen bortfald eller nedsættelse</t>
  </si>
  <si>
    <t>Udvidelse af forsyningsområde</t>
  </si>
  <si>
    <t xml:space="preserve">Ingen tillæg </t>
  </si>
  <si>
    <t>Flytning af ledninger</t>
  </si>
  <si>
    <t xml:space="preserve">Flytning af ledninger </t>
  </si>
  <si>
    <t>Stiftelsesprovision (anlægsprojekter igangsat senest den 1. marts 2016)</t>
  </si>
  <si>
    <t>Ledningsnet ≤ Ø 200 mm</t>
  </si>
  <si>
    <t>75</t>
  </si>
  <si>
    <t>Brønde</t>
  </si>
  <si>
    <t>Ø 200 mm &lt; Ledningsnet ≤ Ø 500 mm</t>
  </si>
  <si>
    <t>SRU Udløbsledninger</t>
  </si>
  <si>
    <t>5</t>
  </si>
  <si>
    <t>Tryksatte minipumpestationer (husstandssystemer)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</si>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</sst>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2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25">
      <c r="A8" s="1"/>
      <c r="B8" s="1"/>
      <c r="C8" s="4"/>
      <c r="D8" s="62" t="s">
        <v>263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41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17</v>
      </c>
      <c r="D14" s="63" t="s">
        <v>264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39</v>
      </c>
      <c r="D15" s="63" t="s">
        <v>104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40</v>
      </c>
      <c r="D16" s="63" t="s">
        <v>188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184</v>
      </c>
      <c r="D17" s="63" t="s">
        <v>189</v>
      </c>
      <c r="E17" s="64"/>
      <c r="F17" s="64"/>
      <c r="G17" s="65"/>
      <c r="H17" s="1"/>
      <c r="I17" s="1"/>
    </row>
    <row r="18" spans="1:9" x14ac:dyDescent="0.25">
      <c r="A18" s="1"/>
      <c r="B18" s="1"/>
      <c r="C18" s="6" t="s">
        <v>156</v>
      </c>
      <c r="D18" s="66" t="s">
        <v>134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157</v>
      </c>
      <c r="D19" s="66" t="s">
        <v>135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7</v>
      </c>
      <c r="D20" s="66" t="s">
        <v>10</v>
      </c>
      <c r="E20" s="67"/>
      <c r="F20" s="67"/>
      <c r="G20" s="68"/>
      <c r="H20" s="1"/>
      <c r="I20" s="1"/>
    </row>
    <row r="21" spans="1:9" x14ac:dyDescent="0.25">
      <c r="A21" s="1"/>
      <c r="B21" s="1"/>
      <c r="C21" s="6" t="s">
        <v>158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108</v>
      </c>
      <c r="D22" s="58" t="s">
        <v>190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191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42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159</v>
      </c>
      <c r="D25" s="58" t="s">
        <v>109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160</v>
      </c>
      <c r="D26" s="58" t="s">
        <v>110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161</v>
      </c>
      <c r="D27" s="58" t="s">
        <v>111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16</v>
      </c>
      <c r="D28" s="58" t="s">
        <v>187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44</v>
      </c>
      <c r="D29" s="58" t="s">
        <v>43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45</v>
      </c>
      <c r="D30" s="69" t="s">
        <v>151</v>
      </c>
      <c r="E30" s="70"/>
      <c r="F30" s="70"/>
      <c r="G30" s="7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203</v>
      </c>
      <c r="C8" s="100"/>
      <c r="D8" s="101"/>
      <c r="E8" s="1"/>
      <c r="F8" s="1"/>
    </row>
    <row r="9" spans="1:6" ht="15" customHeight="1" x14ac:dyDescent="0.25">
      <c r="A9" s="1"/>
      <c r="B9" s="42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986556</v>
      </c>
      <c r="D10" s="14" t="s">
        <v>3</v>
      </c>
      <c r="E10" s="1"/>
      <c r="F10" s="1"/>
    </row>
    <row r="11" spans="1:6" ht="15" customHeight="1" x14ac:dyDescent="0.25">
      <c r="A11" s="1"/>
      <c r="B11" s="49" t="s">
        <v>271</v>
      </c>
      <c r="C11" s="9">
        <v>74018</v>
      </c>
      <c r="D11" s="14" t="s">
        <v>3</v>
      </c>
      <c r="E11" s="1"/>
      <c r="F11" s="1"/>
    </row>
    <row r="12" spans="1:6" x14ac:dyDescent="0.25">
      <c r="A12" s="1"/>
      <c r="B12" s="49" t="s">
        <v>272</v>
      </c>
      <c r="C12" s="9">
        <v>12257254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131529</v>
      </c>
      <c r="D13" s="14" t="s">
        <v>3</v>
      </c>
      <c r="E13" s="1"/>
      <c r="F13" s="1"/>
    </row>
    <row r="14" spans="1:6" x14ac:dyDescent="0.25">
      <c r="A14" s="1"/>
      <c r="B14" s="49" t="s">
        <v>274</v>
      </c>
      <c r="C14" s="9">
        <v>483581</v>
      </c>
      <c r="D14" s="14" t="s">
        <v>3</v>
      </c>
      <c r="E14" s="1"/>
      <c r="F14" s="1"/>
    </row>
    <row r="15" spans="1:6" x14ac:dyDescent="0.25">
      <c r="A15" s="1"/>
      <c r="B15" s="37" t="s">
        <v>205</v>
      </c>
      <c r="C15" s="12">
        <f>SUM(C10:C14)</f>
        <v>13932938</v>
      </c>
      <c r="D15" s="13" t="s">
        <v>3</v>
      </c>
      <c r="E15" s="1"/>
      <c r="F15" s="1"/>
    </row>
    <row r="16" spans="1:6" x14ac:dyDescent="0.25">
      <c r="A16" s="1"/>
      <c r="B16" s="37" t="s">
        <v>206</v>
      </c>
      <c r="C16" s="12">
        <f>C15*(1+'Fane 14. Nøgletal'!C13)^2</f>
        <v>14274975.46569192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9" t="s">
        <v>176</v>
      </c>
      <c r="C19" s="100"/>
      <c r="D19" s="101"/>
      <c r="E19" s="1"/>
      <c r="F19" s="1"/>
    </row>
    <row r="20" spans="1:6" x14ac:dyDescent="0.25">
      <c r="A20" s="1"/>
      <c r="B20" s="49" t="s">
        <v>142</v>
      </c>
      <c r="C20" s="9">
        <v>290617</v>
      </c>
      <c r="D20" s="14" t="s">
        <v>3</v>
      </c>
      <c r="E20" s="1"/>
      <c r="F20" s="1"/>
    </row>
    <row r="21" spans="1:6" x14ac:dyDescent="0.25">
      <c r="A21" s="1"/>
      <c r="B21" s="49" t="s">
        <v>143</v>
      </c>
      <c r="C21" s="9">
        <v>290617</v>
      </c>
      <c r="D21" s="14" t="s">
        <v>3</v>
      </c>
      <c r="E21" s="1"/>
      <c r="F21" s="1"/>
    </row>
    <row r="22" spans="1:6" x14ac:dyDescent="0.25">
      <c r="A22" s="1"/>
      <c r="B22" s="49" t="s">
        <v>144</v>
      </c>
      <c r="C22" s="9">
        <v>290617</v>
      </c>
      <c r="D22" s="14" t="s">
        <v>3</v>
      </c>
      <c r="E22" s="1"/>
      <c r="F22" s="1"/>
    </row>
    <row r="23" spans="1:6" x14ac:dyDescent="0.25">
      <c r="A23" s="1"/>
      <c r="B23" s="49" t="s">
        <v>207</v>
      </c>
      <c r="C23" s="9">
        <v>290617</v>
      </c>
      <c r="D23" s="14" t="s">
        <v>3</v>
      </c>
      <c r="E23" s="1"/>
      <c r="F23" s="1"/>
    </row>
    <row r="24" spans="1:6" x14ac:dyDescent="0.25">
      <c r="A24" s="1"/>
      <c r="B24" s="99"/>
      <c r="C24" s="100"/>
      <c r="D24" s="10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9" t="s">
        <v>141</v>
      </c>
      <c r="C27" s="100"/>
      <c r="D27" s="101"/>
      <c r="E27" s="1"/>
      <c r="F27" s="1"/>
    </row>
    <row r="28" spans="1:6" x14ac:dyDescent="0.25">
      <c r="A28" s="1"/>
      <c r="B28" s="49" t="s">
        <v>142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143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144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9" t="s">
        <v>207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9"/>
      <c r="C32" s="100"/>
      <c r="D32" s="10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7" t="s">
        <v>208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47"/>
      <c r="C6" s="47"/>
      <c r="D6" s="47"/>
      <c r="E6" s="47"/>
      <c r="F6" s="47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250</v>
      </c>
      <c r="C8" s="100"/>
      <c r="D8" s="100"/>
      <c r="E8" s="100"/>
      <c r="F8" s="101"/>
      <c r="G8" s="1"/>
    </row>
    <row r="9" spans="1:7" x14ac:dyDescent="0.25">
      <c r="A9" s="1"/>
      <c r="B9" s="102" t="s">
        <v>251</v>
      </c>
      <c r="C9" s="103"/>
      <c r="D9" s="104"/>
      <c r="E9" s="9">
        <v>71281337.432066664</v>
      </c>
      <c r="F9" s="14" t="s">
        <v>3</v>
      </c>
      <c r="G9" s="1"/>
    </row>
    <row r="10" spans="1:7" x14ac:dyDescent="0.25">
      <c r="A10" s="1"/>
      <c r="B10" s="102" t="s">
        <v>252</v>
      </c>
      <c r="C10" s="103"/>
      <c r="D10" s="104"/>
      <c r="E10" s="9">
        <v>69257206</v>
      </c>
      <c r="F10" s="14" t="s">
        <v>3</v>
      </c>
      <c r="G10" s="1"/>
    </row>
    <row r="11" spans="1:7" x14ac:dyDescent="0.25">
      <c r="A11" s="1"/>
      <c r="B11" s="102" t="s">
        <v>38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96" t="s">
        <v>257</v>
      </c>
      <c r="C12" s="97"/>
      <c r="D12" s="98"/>
      <c r="E12" s="10">
        <f>E9-(E10-E11)</f>
        <v>2024131.4320666641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7" t="s">
        <v>253</v>
      </c>
      <c r="C14" s="88"/>
      <c r="D14" s="88"/>
      <c r="E14" s="88"/>
      <c r="F14" s="89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9" t="s">
        <v>51</v>
      </c>
      <c r="C17" s="100"/>
      <c r="D17" s="100"/>
      <c r="E17" s="100"/>
      <c r="F17" s="101"/>
      <c r="G17" s="1"/>
    </row>
    <row r="18" spans="1:7" x14ac:dyDescent="0.25">
      <c r="A18" s="1"/>
      <c r="B18" s="102" t="s">
        <v>52</v>
      </c>
      <c r="C18" s="103"/>
      <c r="D18" s="104"/>
      <c r="E18" s="9">
        <v>71504603.680189967</v>
      </c>
      <c r="F18" s="14" t="s">
        <v>3</v>
      </c>
      <c r="G18" s="1"/>
    </row>
    <row r="19" spans="1:7" x14ac:dyDescent="0.25">
      <c r="A19" s="1"/>
      <c r="B19" s="102" t="s">
        <v>53</v>
      </c>
      <c r="C19" s="103"/>
      <c r="D19" s="104"/>
      <c r="E19" s="9">
        <v>68748455</v>
      </c>
      <c r="F19" s="14" t="s">
        <v>3</v>
      </c>
      <c r="G19" s="1"/>
    </row>
    <row r="20" spans="1:7" x14ac:dyDescent="0.25">
      <c r="A20" s="1"/>
      <c r="B20" s="102" t="s">
        <v>38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96" t="s">
        <v>54</v>
      </c>
      <c r="C21" s="97"/>
      <c r="D21" s="98"/>
      <c r="E21" s="10">
        <f>E18-(E19-E20)</f>
        <v>2756148.6801899672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7" t="s">
        <v>253</v>
      </c>
      <c r="C23" s="88"/>
      <c r="D23" s="88"/>
      <c r="E23" s="88"/>
      <c r="F23" s="89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9" t="s">
        <v>254</v>
      </c>
      <c r="C25" s="100"/>
      <c r="D25" s="100"/>
      <c r="E25" s="100"/>
      <c r="F25" s="101"/>
      <c r="G25" s="1"/>
    </row>
    <row r="26" spans="1:7" x14ac:dyDescent="0.25">
      <c r="A26" s="1"/>
      <c r="B26" s="102" t="s">
        <v>255</v>
      </c>
      <c r="C26" s="103"/>
      <c r="D26" s="104"/>
      <c r="E26" s="9">
        <v>75683887.128424928</v>
      </c>
      <c r="F26" s="14" t="s">
        <v>3</v>
      </c>
      <c r="G26" s="1"/>
    </row>
    <row r="27" spans="1:7" x14ac:dyDescent="0.25">
      <c r="A27" s="1"/>
      <c r="B27" s="102" t="s">
        <v>256</v>
      </c>
      <c r="C27" s="103"/>
      <c r="D27" s="104"/>
      <c r="E27" s="9">
        <v>79066776</v>
      </c>
      <c r="F27" s="14" t="s">
        <v>3</v>
      </c>
      <c r="G27" s="1"/>
    </row>
    <row r="28" spans="1:7" x14ac:dyDescent="0.25">
      <c r="A28" s="1"/>
      <c r="B28" s="102" t="s">
        <v>38</v>
      </c>
      <c r="C28" s="103"/>
      <c r="D28" s="104"/>
      <c r="E28" s="9">
        <v>0</v>
      </c>
      <c r="F28" s="14" t="s">
        <v>3</v>
      </c>
      <c r="G28" s="1"/>
    </row>
    <row r="29" spans="1:7" x14ac:dyDescent="0.25">
      <c r="A29" s="1"/>
      <c r="B29" s="96" t="s">
        <v>258</v>
      </c>
      <c r="C29" s="97"/>
      <c r="D29" s="98"/>
      <c r="E29" s="10">
        <f>E26-(E27-E28)</f>
        <v>-3382888.8715750724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259</v>
      </c>
      <c r="C32" s="100"/>
      <c r="D32" s="100"/>
      <c r="E32" s="100"/>
      <c r="F32" s="101"/>
      <c r="G32" s="1"/>
    </row>
    <row r="33" spans="1:7" x14ac:dyDescent="0.25">
      <c r="A33" s="1"/>
      <c r="B33" s="113" t="s">
        <v>260</v>
      </c>
      <c r="C33" s="114"/>
      <c r="D33" s="115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3" t="s">
        <v>147</v>
      </c>
      <c r="C34" s="114"/>
      <c r="D34" s="115"/>
      <c r="E34" s="9">
        <v>2</v>
      </c>
      <c r="F34" s="14" t="s">
        <v>21</v>
      </c>
      <c r="G34" s="1"/>
    </row>
    <row r="35" spans="1:7" x14ac:dyDescent="0.25">
      <c r="A35" s="1"/>
      <c r="B35" s="116" t="s">
        <v>262</v>
      </c>
      <c r="C35" s="116"/>
      <c r="D35" s="116"/>
      <c r="E35" s="10">
        <f>E33/E34</f>
        <v>0</v>
      </c>
      <c r="F35" s="17" t="s">
        <v>3</v>
      </c>
      <c r="G35" s="1"/>
    </row>
    <row r="36" spans="1:7" x14ac:dyDescent="0.25">
      <c r="A36" s="1"/>
      <c r="B36" s="117"/>
      <c r="C36" s="118"/>
      <c r="D36" s="118"/>
      <c r="E36" s="118"/>
      <c r="F36" s="11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7" t="s">
        <v>209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210</v>
      </c>
      <c r="C9" s="100"/>
      <c r="D9" s="100"/>
      <c r="E9" s="100"/>
      <c r="F9" s="100"/>
      <c r="G9" s="1"/>
    </row>
    <row r="10" spans="1:7" x14ac:dyDescent="0.25">
      <c r="A10" s="1"/>
      <c r="B10" s="87" t="s">
        <v>145</v>
      </c>
      <c r="C10" s="88"/>
      <c r="D10" s="89"/>
      <c r="E10" s="7">
        <v>0</v>
      </c>
      <c r="F10" s="8" t="s">
        <v>3</v>
      </c>
      <c r="G10" s="1"/>
    </row>
    <row r="11" spans="1:7" x14ac:dyDescent="0.25">
      <c r="A11" s="1"/>
      <c r="B11" s="102" t="s">
        <v>211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6" t="s">
        <v>146</v>
      </c>
      <c r="C12" s="97"/>
      <c r="D12" s="98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133</v>
      </c>
      <c r="C13" s="100"/>
      <c r="D13" s="100"/>
      <c r="E13" s="100"/>
      <c r="F13" s="100"/>
      <c r="G13" s="1"/>
    </row>
    <row r="14" spans="1:7" x14ac:dyDescent="0.25">
      <c r="A14" s="1"/>
      <c r="B14" s="102" t="s">
        <v>212</v>
      </c>
      <c r="C14" s="103"/>
      <c r="D14" s="104"/>
      <c r="E14" s="9">
        <v>290617</v>
      </c>
      <c r="F14" s="8" t="s">
        <v>3</v>
      </c>
      <c r="G14" s="1"/>
    </row>
    <row r="15" spans="1:7" x14ac:dyDescent="0.25">
      <c r="A15" s="1"/>
      <c r="B15" s="87" t="s">
        <v>213</v>
      </c>
      <c r="C15" s="88"/>
      <c r="D15" s="89"/>
      <c r="E15" s="9">
        <v>182500</v>
      </c>
      <c r="F15" s="8" t="s">
        <v>3</v>
      </c>
      <c r="G15" s="1"/>
    </row>
    <row r="16" spans="1:7" x14ac:dyDescent="0.25">
      <c r="A16" s="1"/>
      <c r="B16" s="96" t="s">
        <v>146</v>
      </c>
      <c r="C16" s="97"/>
      <c r="D16" s="98"/>
      <c r="E16" s="10">
        <f>E15-E14</f>
        <v>-108117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-108117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235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236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282</v>
      </c>
      <c r="C10" s="54" t="s">
        <v>283</v>
      </c>
      <c r="D10" s="9">
        <v>352879.02</v>
      </c>
      <c r="E10" s="9">
        <f>IFERROR(D10/C10,0)</f>
        <v>4705.0536000000002</v>
      </c>
      <c r="F10" s="9">
        <v>0</v>
      </c>
      <c r="G10" s="9">
        <v>5928.37</v>
      </c>
      <c r="H10" s="14" t="s">
        <v>3</v>
      </c>
      <c r="I10" s="1"/>
    </row>
    <row r="11" spans="1:9" x14ac:dyDescent="0.25">
      <c r="A11" s="1"/>
      <c r="B11" s="51" t="s">
        <v>284</v>
      </c>
      <c r="C11" s="54" t="s">
        <v>283</v>
      </c>
      <c r="D11" s="9">
        <v>41430.620000000003</v>
      </c>
      <c r="E11" s="9">
        <f t="shared" ref="E11:E12" si="0">IFERROR(D11/C11,0)</f>
        <v>552.40826666666669</v>
      </c>
      <c r="F11" s="9">
        <v>0</v>
      </c>
      <c r="G11" s="9">
        <v>696.03</v>
      </c>
      <c r="H11" s="14" t="s">
        <v>3</v>
      </c>
      <c r="I11" s="1"/>
    </row>
    <row r="12" spans="1:9" ht="26.25" x14ac:dyDescent="0.25">
      <c r="A12" s="1"/>
      <c r="B12" s="51" t="s">
        <v>285</v>
      </c>
      <c r="C12" s="54" t="s">
        <v>283</v>
      </c>
      <c r="D12" s="9">
        <v>44109.88</v>
      </c>
      <c r="E12" s="9">
        <f t="shared" si="0"/>
        <v>588.13173333333327</v>
      </c>
      <c r="F12" s="9">
        <v>0</v>
      </c>
      <c r="G12" s="9">
        <v>741.04000000000008</v>
      </c>
      <c r="H12" s="14" t="s">
        <v>3</v>
      </c>
      <c r="I12" s="1"/>
    </row>
    <row r="13" spans="1:9" x14ac:dyDescent="0.25">
      <c r="A13" s="1"/>
      <c r="B13" s="51" t="s">
        <v>286</v>
      </c>
      <c r="C13" s="54" t="s">
        <v>287</v>
      </c>
      <c r="D13" s="9">
        <v>989669.54</v>
      </c>
      <c r="E13" s="9">
        <f t="shared" ref="E13:E14" si="1">IFERROR(D13/C13,0)</f>
        <v>197933.908</v>
      </c>
      <c r="F13" s="9">
        <v>0</v>
      </c>
      <c r="G13" s="9">
        <v>16626.439999999999</v>
      </c>
      <c r="H13" s="14" t="s">
        <v>3</v>
      </c>
      <c r="I13" s="1"/>
    </row>
    <row r="14" spans="1:9" ht="39" x14ac:dyDescent="0.25">
      <c r="A14" s="1"/>
      <c r="B14" s="51" t="s">
        <v>288</v>
      </c>
      <c r="C14" s="54" t="s">
        <v>289</v>
      </c>
      <c r="D14" s="9">
        <v>1163369.54</v>
      </c>
      <c r="E14" s="9">
        <f t="shared" si="1"/>
        <v>38778.984666666671</v>
      </c>
      <c r="F14" s="9">
        <v>0</v>
      </c>
      <c r="G14" s="9">
        <v>19544.599999999999</v>
      </c>
      <c r="H14" s="14" t="s">
        <v>3</v>
      </c>
      <c r="I14" s="1"/>
    </row>
    <row r="15" spans="1:9" x14ac:dyDescent="0.25">
      <c r="A15" s="1"/>
      <c r="B15" s="99" t="s">
        <v>237</v>
      </c>
      <c r="C15" s="100"/>
      <c r="D15" s="101"/>
      <c r="E15" s="12">
        <f>SUM(E10:E14)</f>
        <v>242558.48626666667</v>
      </c>
      <c r="F15" s="12">
        <f t="shared" ref="F15:G15" si="2">SUM(F10:F14)</f>
        <v>0</v>
      </c>
      <c r="G15" s="12">
        <f t="shared" si="2"/>
        <v>43536.479999999996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164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Anlægsprojekter'!F15</f>
        <v>0</v>
      </c>
      <c r="D10" s="14" t="s">
        <v>3</v>
      </c>
      <c r="E10" s="9">
        <f>SUM('Fane 9. Anlægsprojekter'!E15,'Fane 9. Anlægsprojekter'!G15)</f>
        <v>286094.96626666666</v>
      </c>
      <c r="F10" s="14" t="s">
        <v>3</v>
      </c>
      <c r="G10" s="1"/>
    </row>
    <row r="11" spans="1:7" x14ac:dyDescent="0.25">
      <c r="A11" s="1"/>
      <c r="B11" s="55" t="s">
        <v>277</v>
      </c>
      <c r="C11" s="22">
        <v>105884</v>
      </c>
      <c r="D11" s="14" t="s">
        <v>3</v>
      </c>
      <c r="E11" s="9">
        <v>40693</v>
      </c>
      <c r="F11" s="14" t="s">
        <v>3</v>
      </c>
      <c r="G11" s="1"/>
    </row>
    <row r="12" spans="1:7" x14ac:dyDescent="0.25">
      <c r="A12" s="1"/>
      <c r="B12" s="25" t="s">
        <v>280</v>
      </c>
      <c r="C12" s="22">
        <v>0</v>
      </c>
      <c r="D12" s="14" t="s">
        <v>3</v>
      </c>
      <c r="E12" s="9">
        <v>2354</v>
      </c>
      <c r="F12" s="14" t="s">
        <v>3</v>
      </c>
      <c r="G12" s="1"/>
    </row>
    <row r="13" spans="1:7" x14ac:dyDescent="0.25">
      <c r="A13" s="1"/>
      <c r="B13" s="37" t="s">
        <v>49</v>
      </c>
      <c r="C13" s="12">
        <f>SUM(C10:C12)</f>
        <v>105884</v>
      </c>
      <c r="D13" s="13" t="s">
        <v>3</v>
      </c>
      <c r="E13" s="12">
        <f>SUM(E10:E12)</f>
        <v>329141.96626666666</v>
      </c>
      <c r="F13" s="13" t="s">
        <v>3</v>
      </c>
      <c r="G13" s="1"/>
    </row>
    <row r="14" spans="1:7" x14ac:dyDescent="0.25">
      <c r="A14" s="1"/>
      <c r="B14" s="37" t="s">
        <v>215</v>
      </c>
      <c r="C14" s="12">
        <f>C13*(1+'Fane 14. Nøgletal'!C13)</f>
        <v>107175.78479999999</v>
      </c>
      <c r="D14" s="13" t="s">
        <v>3</v>
      </c>
      <c r="E14" s="12">
        <f>E13*(1+'Fane 14. Nøgletal'!C13)</f>
        <v>333157.49825512001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163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136</v>
      </c>
      <c r="C8" s="100"/>
      <c r="D8" s="100"/>
      <c r="E8" s="100"/>
      <c r="F8" s="101"/>
      <c r="G8" s="1"/>
    </row>
    <row r="9" spans="1:7" x14ac:dyDescent="0.25">
      <c r="A9" s="1"/>
      <c r="B9" s="39" t="s">
        <v>18</v>
      </c>
      <c r="C9" s="39" t="s">
        <v>12</v>
      </c>
      <c r="D9" s="40"/>
      <c r="E9" s="39" t="s">
        <v>36</v>
      </c>
      <c r="F9" s="53"/>
      <c r="G9" s="1"/>
    </row>
    <row r="10" spans="1:7" x14ac:dyDescent="0.25">
      <c r="A10" s="1"/>
      <c r="B10" s="25" t="s">
        <v>277</v>
      </c>
      <c r="C10" s="22">
        <v>0</v>
      </c>
      <c r="D10" s="14" t="s">
        <v>3</v>
      </c>
      <c r="E10" s="9">
        <v>13391</v>
      </c>
      <c r="F10" s="14" t="s">
        <v>3</v>
      </c>
      <c r="G10" s="1"/>
    </row>
    <row r="11" spans="1:7" x14ac:dyDescent="0.25">
      <c r="A11" s="1"/>
      <c r="B11" s="55" t="s">
        <v>279</v>
      </c>
      <c r="C11" s="22">
        <v>0</v>
      </c>
      <c r="D11" s="14" t="s">
        <v>3</v>
      </c>
      <c r="E11" s="9">
        <v>781</v>
      </c>
      <c r="F11" s="14" t="s">
        <v>3</v>
      </c>
      <c r="G11" s="1"/>
    </row>
    <row r="12" spans="1:7" ht="26.25" x14ac:dyDescent="0.25">
      <c r="A12" s="1"/>
      <c r="B12" s="56" t="s">
        <v>281</v>
      </c>
      <c r="C12" s="22">
        <v>0</v>
      </c>
      <c r="D12" s="14" t="s">
        <v>3</v>
      </c>
      <c r="E12" s="9">
        <v>25914.600000000002</v>
      </c>
      <c r="F12" s="14" t="s">
        <v>3</v>
      </c>
      <c r="G12" s="1"/>
    </row>
    <row r="13" spans="1:7" x14ac:dyDescent="0.25">
      <c r="A13" s="1"/>
      <c r="B13" s="37" t="s">
        <v>216</v>
      </c>
      <c r="C13" s="12">
        <f>SUM(C10:C12)</f>
        <v>0</v>
      </c>
      <c r="D13" s="13" t="s">
        <v>3</v>
      </c>
      <c r="E13" s="12">
        <f>SUM(E10:E12)</f>
        <v>40086.600000000006</v>
      </c>
      <c r="F13" s="13" t="s">
        <v>3</v>
      </c>
      <c r="G13" s="1"/>
    </row>
    <row r="14" spans="1:7" x14ac:dyDescent="0.25">
      <c r="A14" s="1"/>
      <c r="B14" s="27" t="s">
        <v>10</v>
      </c>
      <c r="C14" s="28">
        <f>-C13*'Fane 5. Individuelt eff. krav'!G10</f>
        <v>0</v>
      </c>
      <c r="D14" s="29" t="s">
        <v>3</v>
      </c>
      <c r="E14" s="28">
        <f>-E13*'Fane 5. Individuelt eff. krav'!G10</f>
        <v>0</v>
      </c>
      <c r="F14" s="29" t="s">
        <v>3</v>
      </c>
      <c r="G14" s="1"/>
    </row>
    <row r="15" spans="1:7" x14ac:dyDescent="0.25">
      <c r="A15" s="1"/>
      <c r="B15" s="27" t="s">
        <v>140</v>
      </c>
      <c r="C15" s="28">
        <f>-C13*'Fane 14. Nøgletal'!C27</f>
        <v>0</v>
      </c>
      <c r="D15" s="29" t="s">
        <v>3</v>
      </c>
      <c r="E15" s="28">
        <f>-E13*'Fane 14. Nøgletal'!C22</f>
        <v>-1102.3815000000002</v>
      </c>
      <c r="F15" s="29" t="s">
        <v>3</v>
      </c>
      <c r="G15" s="1"/>
    </row>
    <row r="16" spans="1:7" x14ac:dyDescent="0.25">
      <c r="A16" s="1"/>
      <c r="B16" s="37" t="s">
        <v>139</v>
      </c>
      <c r="C16" s="12">
        <f>SUM(C13:C15)*(1+'Fane 14. Nøgletal'!C13)^2</f>
        <v>0</v>
      </c>
      <c r="D16" s="13" t="s">
        <v>3</v>
      </c>
      <c r="E16" s="12">
        <f>SUM(E13:E15)*(1+'Fane 14. Nøgletal'!C13)^2</f>
        <v>39941.235842481547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9" t="s">
        <v>137</v>
      </c>
      <c r="C18" s="100"/>
      <c r="D18" s="100"/>
      <c r="E18" s="100"/>
      <c r="F18" s="101"/>
      <c r="G18" s="1"/>
    </row>
    <row r="19" spans="1:7" x14ac:dyDescent="0.25">
      <c r="A19" s="1"/>
      <c r="B19" s="39" t="s">
        <v>18</v>
      </c>
      <c r="C19" s="39" t="s">
        <v>12</v>
      </c>
      <c r="D19" s="40"/>
      <c r="E19" s="39" t="s">
        <v>36</v>
      </c>
      <c r="F19" s="53"/>
      <c r="G19" s="1"/>
    </row>
    <row r="20" spans="1:7" x14ac:dyDescent="0.25">
      <c r="A20" s="1"/>
      <c r="B20" s="25" t="s">
        <v>278</v>
      </c>
      <c r="C20" s="22">
        <v>0</v>
      </c>
      <c r="D20" s="14" t="s">
        <v>3</v>
      </c>
      <c r="E20" s="9">
        <v>0</v>
      </c>
      <c r="F20" s="14" t="s">
        <v>3</v>
      </c>
      <c r="G20" s="1"/>
    </row>
    <row r="21" spans="1:7" x14ac:dyDescent="0.25">
      <c r="A21" s="1"/>
      <c r="B21" s="37" t="s">
        <v>216</v>
      </c>
      <c r="C21" s="12">
        <f>SUM(C20:C20)</f>
        <v>0</v>
      </c>
      <c r="D21" s="13" t="s">
        <v>3</v>
      </c>
      <c r="E21" s="12">
        <f>SUM(E20:E20)</f>
        <v>0</v>
      </c>
      <c r="F21" s="13" t="s">
        <v>3</v>
      </c>
      <c r="G21" s="1"/>
    </row>
    <row r="22" spans="1:7" x14ac:dyDescent="0.25">
      <c r="A22" s="1"/>
      <c r="B22" s="27" t="s">
        <v>10</v>
      </c>
      <c r="C22" s="28">
        <f>-C21*'Fane 5. Individuelt eff. krav'!G10</f>
        <v>0</v>
      </c>
      <c r="D22" s="29" t="s">
        <v>3</v>
      </c>
      <c r="E22" s="28">
        <f>-E21*'Fane 5. Individuelt eff. krav'!G10</f>
        <v>0</v>
      </c>
      <c r="F22" s="29" t="s">
        <v>3</v>
      </c>
      <c r="G22" s="1"/>
    </row>
    <row r="23" spans="1:7" x14ac:dyDescent="0.25">
      <c r="A23" s="1"/>
      <c r="B23" s="27" t="s">
        <v>140</v>
      </c>
      <c r="C23" s="28">
        <f>-C21*'Fane 14. Nøgletal'!C27</f>
        <v>0</v>
      </c>
      <c r="D23" s="29" t="s">
        <v>3</v>
      </c>
      <c r="E23" s="28">
        <f>-E21*'Fane 14. Nøgletal'!C22</f>
        <v>0</v>
      </c>
      <c r="F23" s="29" t="s">
        <v>3</v>
      </c>
      <c r="G23" s="1"/>
    </row>
    <row r="24" spans="1:7" x14ac:dyDescent="0.25">
      <c r="A24" s="1"/>
      <c r="B24" s="37" t="s">
        <v>217</v>
      </c>
      <c r="C24" s="12">
        <f>SUM(C21:C23)*(1+'Fane 14. Nøgletal'!C13)^3</f>
        <v>0</v>
      </c>
      <c r="D24" s="13" t="s">
        <v>3</v>
      </c>
      <c r="E24" s="12">
        <f>SUM(E21:E23)*(1+'Fane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138</v>
      </c>
      <c r="C26" s="100"/>
      <c r="D26" s="100"/>
      <c r="E26" s="100"/>
      <c r="F26" s="101"/>
      <c r="G26" s="1"/>
    </row>
    <row r="27" spans="1:7" x14ac:dyDescent="0.25">
      <c r="A27" s="1"/>
      <c r="B27" s="39" t="s">
        <v>18</v>
      </c>
      <c r="C27" s="39" t="s">
        <v>12</v>
      </c>
      <c r="D27" s="40"/>
      <c r="E27" s="39" t="s">
        <v>36</v>
      </c>
      <c r="F27" s="53"/>
      <c r="G27" s="1"/>
    </row>
    <row r="28" spans="1:7" x14ac:dyDescent="0.25">
      <c r="A28" s="1"/>
      <c r="B28" s="25" t="s">
        <v>278</v>
      </c>
      <c r="C28" s="22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216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27" t="s">
        <v>10</v>
      </c>
      <c r="C30" s="28">
        <f>-C29*'Fane 5. Individuelt eff. krav'!G10</f>
        <v>0</v>
      </c>
      <c r="D30" s="29" t="s">
        <v>3</v>
      </c>
      <c r="E30" s="28">
        <f>-E29*'Fane 5. Individuelt eff. krav'!G10</f>
        <v>0</v>
      </c>
      <c r="F30" s="29" t="s">
        <v>3</v>
      </c>
      <c r="G30" s="1"/>
    </row>
    <row r="31" spans="1:7" x14ac:dyDescent="0.25">
      <c r="A31" s="1"/>
      <c r="B31" s="27" t="s">
        <v>140</v>
      </c>
      <c r="C31" s="28">
        <f>-C29*'Fane 14. Nøgletal'!C27</f>
        <v>0</v>
      </c>
      <c r="D31" s="29" t="s">
        <v>3</v>
      </c>
      <c r="E31" s="28">
        <f>-E29*'Fane 14. Nøgletal'!C22</f>
        <v>0</v>
      </c>
      <c r="F31" s="29" t="s">
        <v>3</v>
      </c>
      <c r="G31" s="1"/>
    </row>
    <row r="32" spans="1:7" x14ac:dyDescent="0.25">
      <c r="A32" s="1"/>
      <c r="B32" s="37" t="s">
        <v>217</v>
      </c>
      <c r="C32" s="12">
        <f>SUM(C29:C31)*(1+'Fane 14. Nøgletal'!C13)^4</f>
        <v>0</v>
      </c>
      <c r="D32" s="13" t="s">
        <v>3</v>
      </c>
      <c r="E32" s="12">
        <f>SUM(E29:E31)*(1+'Fane 14. Nøgletal'!C13)^4</f>
        <v>0</v>
      </c>
      <c r="F32" s="13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9" t="s">
        <v>218</v>
      </c>
      <c r="C34" s="100"/>
      <c r="D34" s="100"/>
      <c r="E34" s="100"/>
      <c r="F34" s="101"/>
      <c r="G34" s="1"/>
    </row>
    <row r="35" spans="1:7" x14ac:dyDescent="0.25">
      <c r="A35" s="1"/>
      <c r="B35" s="39" t="s">
        <v>18</v>
      </c>
      <c r="C35" s="39" t="s">
        <v>12</v>
      </c>
      <c r="D35" s="40"/>
      <c r="E35" s="39" t="s">
        <v>36</v>
      </c>
      <c r="F35" s="53"/>
      <c r="G35" s="1"/>
    </row>
    <row r="36" spans="1:7" x14ac:dyDescent="0.25">
      <c r="A36" s="1"/>
      <c r="B36" s="25" t="s">
        <v>278</v>
      </c>
      <c r="C36" s="22">
        <v>0</v>
      </c>
      <c r="D36" s="14" t="s">
        <v>3</v>
      </c>
      <c r="E36" s="9">
        <v>0</v>
      </c>
      <c r="F36" s="14" t="s">
        <v>3</v>
      </c>
      <c r="G36" s="1"/>
    </row>
    <row r="37" spans="1:7" x14ac:dyDescent="0.25">
      <c r="A37" s="1"/>
      <c r="B37" s="37" t="s">
        <v>216</v>
      </c>
      <c r="C37" s="12">
        <f>SUM(C36:C36)</f>
        <v>0</v>
      </c>
      <c r="D37" s="13" t="s">
        <v>3</v>
      </c>
      <c r="E37" s="12">
        <f>SUM(E36:E36)</f>
        <v>0</v>
      </c>
      <c r="F37" s="13" t="s">
        <v>3</v>
      </c>
      <c r="G37" s="1"/>
    </row>
    <row r="38" spans="1:7" x14ac:dyDescent="0.25">
      <c r="A38" s="1"/>
      <c r="B38" s="27" t="s">
        <v>10</v>
      </c>
      <c r="C38" s="28">
        <f>-C37*'Fane 5. Individuelt eff. krav'!G10</f>
        <v>0</v>
      </c>
      <c r="D38" s="29" t="s">
        <v>3</v>
      </c>
      <c r="E38" s="28">
        <f>-E37*'Fane 5. Individuelt eff. krav'!G10</f>
        <v>0</v>
      </c>
      <c r="F38" s="29" t="s">
        <v>3</v>
      </c>
      <c r="G38" s="1"/>
    </row>
    <row r="39" spans="1:7" x14ac:dyDescent="0.25">
      <c r="A39" s="1"/>
      <c r="B39" s="27" t="s">
        <v>140</v>
      </c>
      <c r="C39" s="28">
        <f>-C37*'Fane 14. Nøgletal'!C27</f>
        <v>0</v>
      </c>
      <c r="D39" s="29" t="s">
        <v>3</v>
      </c>
      <c r="E39" s="28">
        <f>-E37*'Fane 14. Nøgletal'!C22</f>
        <v>0</v>
      </c>
      <c r="F39" s="29" t="s">
        <v>3</v>
      </c>
      <c r="G39" s="1"/>
    </row>
    <row r="40" spans="1:7" x14ac:dyDescent="0.25">
      <c r="A40" s="1"/>
      <c r="B40" s="37" t="s">
        <v>217</v>
      </c>
      <c r="C40" s="12">
        <f>SUM(C37:C39)*(1+'Fane 14. Nøgletal'!C13)^5</f>
        <v>0</v>
      </c>
      <c r="D40" s="13" t="s">
        <v>3</v>
      </c>
      <c r="E40" s="12">
        <f>SUM(E37:E39)*(1+'Fane 14. Nøgletal'!C13)^5</f>
        <v>0</v>
      </c>
      <c r="F40" s="13" t="s">
        <v>3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1WlzXG5dCXgoGwmGwqSu64tnvaWUXG2vR7OLUTV9zBRtxts9IUslhFjIMFd7j8mvK0jdA3hxWtaZsDZg5VlPSw==" saltValue="fBhPFvaUEpGRq6iduIA83g==" spinCount="100000" sheet="1" objects="1" scenarios="1"/>
  <mergeCells count="5">
    <mergeCell ref="B3:F4"/>
    <mergeCell ref="B8:F8"/>
    <mergeCell ref="B18:F18"/>
    <mergeCell ref="B26:F26"/>
    <mergeCell ref="B34:F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175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77"/>
      <c r="C5" s="77"/>
      <c r="D5" s="77"/>
      <c r="E5" s="77"/>
      <c r="F5" s="7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123</v>
      </c>
      <c r="C8" s="100"/>
      <c r="D8" s="100"/>
      <c r="E8" s="100"/>
      <c r="F8" s="101"/>
      <c r="G8" s="1"/>
    </row>
    <row r="9" spans="1:7" x14ac:dyDescent="0.25">
      <c r="A9" s="1"/>
      <c r="B9" s="120" t="s">
        <v>219</v>
      </c>
      <c r="C9" s="121"/>
      <c r="D9" s="12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4" t="s">
        <v>29</v>
      </c>
      <c r="C11" s="85"/>
      <c r="D11" s="86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9" t="s">
        <v>126</v>
      </c>
      <c r="C12" s="100"/>
      <c r="D12" s="101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124</v>
      </c>
      <c r="C14" s="100"/>
      <c r="D14" s="100"/>
      <c r="E14" s="100"/>
      <c r="F14" s="101"/>
      <c r="G14" s="1"/>
    </row>
    <row r="15" spans="1:7" x14ac:dyDescent="0.25">
      <c r="A15" s="1"/>
      <c r="B15" s="120" t="s">
        <v>219</v>
      </c>
      <c r="C15" s="121"/>
      <c r="D15" s="12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4" t="s">
        <v>29</v>
      </c>
      <c r="C17" s="85"/>
      <c r="D17" s="86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9" t="s">
        <v>127</v>
      </c>
      <c r="C18" s="100"/>
      <c r="D18" s="10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125</v>
      </c>
      <c r="C20" s="100"/>
      <c r="D20" s="100"/>
      <c r="E20" s="100"/>
      <c r="F20" s="101"/>
      <c r="G20" s="1"/>
    </row>
    <row r="21" spans="1:7" x14ac:dyDescent="0.25">
      <c r="A21" s="1"/>
      <c r="B21" s="120" t="s">
        <v>219</v>
      </c>
      <c r="C21" s="121"/>
      <c r="D21" s="12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4" t="s">
        <v>29</v>
      </c>
      <c r="C23" s="85"/>
      <c r="D23" s="86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9" t="s">
        <v>128</v>
      </c>
      <c r="C24" s="100"/>
      <c r="D24" s="10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220</v>
      </c>
      <c r="C26" s="100"/>
      <c r="D26" s="100"/>
      <c r="E26" s="100"/>
      <c r="F26" s="101"/>
      <c r="G26" s="1"/>
    </row>
    <row r="27" spans="1:7" x14ac:dyDescent="0.25">
      <c r="A27" s="1"/>
      <c r="B27" s="120" t="s">
        <v>122</v>
      </c>
      <c r="C27" s="121"/>
      <c r="D27" s="12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4" t="s">
        <v>29</v>
      </c>
      <c r="C29" s="85"/>
      <c r="D29" s="86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9" t="s">
        <v>221</v>
      </c>
      <c r="C30" s="100"/>
      <c r="D30" s="10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222</v>
      </c>
      <c r="C3" s="77"/>
      <c r="D3" s="77"/>
      <c r="E3" s="77"/>
      <c r="F3" s="77"/>
      <c r="G3" s="1"/>
    </row>
    <row r="4" spans="1:7" ht="25.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223</v>
      </c>
      <c r="C8" s="100"/>
      <c r="D8" s="100"/>
      <c r="E8" s="100"/>
      <c r="F8" s="101"/>
      <c r="G8" s="1"/>
    </row>
    <row r="9" spans="1:7" ht="15" customHeight="1" x14ac:dyDescent="0.25">
      <c r="A9" s="1"/>
      <c r="B9" s="52" t="s">
        <v>224</v>
      </c>
      <c r="C9" s="90" t="s">
        <v>12</v>
      </c>
      <c r="D9" s="92"/>
      <c r="E9" s="123" t="s">
        <v>36</v>
      </c>
      <c r="F9" s="124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162</v>
      </c>
      <c r="C3" s="77"/>
      <c r="D3" s="77"/>
      <c r="E3" s="77"/>
      <c r="F3" s="77"/>
      <c r="G3" s="1"/>
    </row>
    <row r="4" spans="1:7" ht="25.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130</v>
      </c>
      <c r="C8" s="100"/>
      <c r="D8" s="100"/>
      <c r="E8" s="100"/>
      <c r="F8" s="101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129</v>
      </c>
      <c r="C14" s="100"/>
      <c r="D14" s="100"/>
      <c r="E14" s="100"/>
      <c r="F14" s="101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131</v>
      </c>
      <c r="C20" s="100"/>
      <c r="D20" s="100"/>
      <c r="E20" s="100"/>
      <c r="F20" s="101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7" t="s">
        <v>265</v>
      </c>
      <c r="C3" s="77"/>
      <c r="D3" s="1"/>
    </row>
    <row r="4" spans="1:4" ht="25.5" customHeight="1" x14ac:dyDescent="0.25">
      <c r="A4" s="1"/>
      <c r="B4" s="77"/>
      <c r="C4" s="7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192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8" t="s">
        <v>27</v>
      </c>
      <c r="C9" s="7">
        <f>'Fane 3. Omkostninger i ØR2020'!E22</f>
        <v>58584706.584053181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900468.42854989984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340572.71089264506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62357.171473252667</v>
      </c>
      <c r="D13" s="8" t="s">
        <v>3</v>
      </c>
      <c r="E13" s="1"/>
    </row>
    <row r="14" spans="1:5" ht="17.100000000000001" customHeight="1" x14ac:dyDescent="0.25">
      <c r="A14" s="1"/>
      <c r="B14" s="46" t="s">
        <v>46</v>
      </c>
      <c r="C14" s="7">
        <f>'Fane 10.1. Varige tillæg'!C14</f>
        <v>107175.78479999999</v>
      </c>
      <c r="D14" s="8" t="s">
        <v>3</v>
      </c>
      <c r="E14" s="1"/>
    </row>
    <row r="15" spans="1:5" ht="17.100000000000001" customHeight="1" x14ac:dyDescent="0.25">
      <c r="A15" s="1"/>
      <c r="B15" s="46" t="s">
        <v>47</v>
      </c>
      <c r="C15" s="9">
        <f>'Fane 10.1. Varige tillæg'!E14</f>
        <v>333157.49825512001</v>
      </c>
      <c r="D15" s="8" t="s">
        <v>3</v>
      </c>
      <c r="E15" s="1"/>
    </row>
    <row r="16" spans="1:5" ht="17.100000000000001" customHeight="1" x14ac:dyDescent="0.25">
      <c r="A16" s="1"/>
      <c r="B16" s="46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6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6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6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6" t="s">
        <v>20</v>
      </c>
      <c r="C20" s="9">
        <f>(C9-SUM(C10:C13))*'Fane 14. Nøgletal'!C10+SUM(C10:C11)*'Fane 14. Nøgletal'!C11+SUM(C12:C13)*'Fane 14. Nøgletal'!C12+SUM(C14:C19)*'Fane 14. Nøgletal'!C13</f>
        <v>1030950.5959582783</v>
      </c>
      <c r="D20" s="8" t="s">
        <v>3</v>
      </c>
      <c r="E20" s="1"/>
    </row>
    <row r="21" spans="1:5" ht="17.100000000000001" customHeight="1" x14ac:dyDescent="0.25">
      <c r="A21" s="1"/>
      <c r="B21" s="46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6" t="s">
        <v>29</v>
      </c>
      <c r="C22" s="9">
        <f>-'Fane 4.1. Gen. krav - drift'!G36</f>
        <v>-441338.27570351458</v>
      </c>
      <c r="D22" s="8" t="s">
        <v>3</v>
      </c>
      <c r="E22" s="1"/>
    </row>
    <row r="23" spans="1:5" ht="15" customHeight="1" x14ac:dyDescent="0.25">
      <c r="A23" s="1"/>
      <c r="B23" s="46" t="s">
        <v>30</v>
      </c>
      <c r="C23" s="9">
        <f>-'Fane 4.2. Gen. krav - anlæg'!G35</f>
        <v>-668150.62189006677</v>
      </c>
      <c r="D23" s="8" t="s">
        <v>3</v>
      </c>
      <c r="E23" s="1"/>
    </row>
    <row r="24" spans="1:5" ht="15" customHeight="1" x14ac:dyDescent="0.25">
      <c r="A24" s="1"/>
      <c r="B24" s="45" t="s">
        <v>22</v>
      </c>
      <c r="C24" s="10">
        <f>SUM(C9,C14:C23)</f>
        <v>58946501.565472998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omk.'!C16+'Fane 6. Ikke-påvirkelige omk.'!C20+'Fane 6. Ikke-påvirkelige omk.'!C28</f>
        <v>14565592.46569192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5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6" t="s">
        <v>106</v>
      </c>
      <c r="C30" s="9">
        <f>'Fane 10.2. Engangstillæg'!C16</f>
        <v>0</v>
      </c>
      <c r="D30" s="8" t="s">
        <v>3</v>
      </c>
      <c r="E30" s="1"/>
    </row>
    <row r="31" spans="1:5" ht="15" customHeight="1" x14ac:dyDescent="0.25">
      <c r="A31" s="1"/>
      <c r="B31" s="46" t="s">
        <v>107</v>
      </c>
      <c r="C31" s="9">
        <f>'Fane 10.2. Engangstillæg'!E16</f>
        <v>39941.235842481547</v>
      </c>
      <c r="D31" s="8" t="s">
        <v>3</v>
      </c>
      <c r="E31" s="1"/>
    </row>
    <row r="32" spans="1:5" x14ac:dyDescent="0.25">
      <c r="A32" s="1"/>
      <c r="B32" s="45" t="s">
        <v>112</v>
      </c>
      <c r="C32" s="10">
        <f>SUM(C30:C31)</f>
        <v>39941.235842481547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-108117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73443918.267007396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8" t="s">
        <v>28</v>
      </c>
      <c r="C9" s="7">
        <f>'Fane 2.1. Økonomisk ramme 2021'!C24</f>
        <v>58946501.565472998</v>
      </c>
      <c r="D9" s="8" t="s">
        <v>3</v>
      </c>
      <c r="E9" s="1"/>
    </row>
    <row r="10" spans="1:5" ht="15" customHeight="1" x14ac:dyDescent="0.25">
      <c r="A10" s="1"/>
      <c r="B10" s="46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6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719147.31909877062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-437788.15061375551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-1038846.6372318101</v>
      </c>
      <c r="D15" s="8" t="s">
        <v>3</v>
      </c>
      <c r="E15" s="1"/>
    </row>
    <row r="16" spans="1:5" ht="15" customHeight="1" x14ac:dyDescent="0.25">
      <c r="A16" s="1"/>
      <c r="B16" s="42" t="s">
        <v>22</v>
      </c>
      <c r="C16" s="10">
        <f>SUM(C9:C15)</f>
        <v>58189014.096726201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omk.'!C16*(1+'Fane 14. Nøgletal'!C13)+'Fane 6. Ikke-påvirkelige omk.'!C21+'Fane 6. Ikke-påvirkelige omk.'!C29</f>
        <v>14739747.166373361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5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6" t="s">
        <v>106</v>
      </c>
      <c r="C22" s="9">
        <f>'Fane 10.2. Engangstillæg'!C24</f>
        <v>0</v>
      </c>
      <c r="D22" s="8" t="s">
        <v>3</v>
      </c>
      <c r="E22" s="1"/>
    </row>
    <row r="23" spans="1:5" ht="15" customHeight="1" x14ac:dyDescent="0.25">
      <c r="A23" s="1"/>
      <c r="B23" s="46" t="s">
        <v>107</v>
      </c>
      <c r="C23" s="9">
        <f>'Fane 10.2. Engangstillæg'!E24</f>
        <v>0</v>
      </c>
      <c r="D23" s="8" t="s">
        <v>3</v>
      </c>
      <c r="E23" s="1"/>
    </row>
    <row r="24" spans="1:5" ht="15" customHeight="1" x14ac:dyDescent="0.25">
      <c r="A24" s="1"/>
      <c r="B24" s="45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72928761.263099566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196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155</v>
      </c>
      <c r="C8" s="7">
        <f>'Fane 2.2. Økonomisk ramme 2022'!C16</f>
        <v>58189014.096726201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709905.97198005975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-434266.58273021848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-1022603.7506353721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57442049.73534067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omk.'!C16*(1+'Fane 14. Nøgletal'!C13)^2+'Fane 6. Ikke-påvirkelige omk.'!C22+'Fane 6. Ikke-påvirkelige omk.'!C30</f>
        <v>14916026.554403117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Engangstillæg'!C32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Engangstillæg'!E32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72358076.289743781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197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8" t="s">
        <v>198</v>
      </c>
      <c r="C8" s="7">
        <f>'Fane 2.3. Økonomisk ramme 2023'!C15</f>
        <v>57442049.73534067</v>
      </c>
      <c r="D8" s="8" t="s">
        <v>3</v>
      </c>
      <c r="E8" s="1"/>
    </row>
    <row r="9" spans="1:5" ht="15" customHeight="1" x14ac:dyDescent="0.25">
      <c r="A9" s="1"/>
      <c r="B9" s="48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8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700793.00677115622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-430773.34233873658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-1006614.8296923129</v>
      </c>
      <c r="D14" s="8" t="s">
        <v>3</v>
      </c>
      <c r="E14" s="1"/>
    </row>
    <row r="15" spans="1:5" x14ac:dyDescent="0.25">
      <c r="A15" s="1"/>
      <c r="B15" s="42" t="s">
        <v>22</v>
      </c>
      <c r="C15" s="10">
        <f>SUM(C8:C14)</f>
        <v>56705454.570080779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omk.'!C16*(1+'Fane 14. Nøgletal'!C13)^3+'Fane 6. Ikke-påvirkelige omk.'!C23+'Fane 6. Ikke-påvirkelige omk.'!C31</f>
        <v>15094456.550966835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5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6" t="s">
        <v>106</v>
      </c>
      <c r="C21" s="9">
        <f>'Fane 10.2. Engangstillæg'!C40</f>
        <v>0</v>
      </c>
      <c r="D21" s="8" t="s">
        <v>3</v>
      </c>
      <c r="E21" s="1"/>
    </row>
    <row r="22" spans="1:5" ht="15" customHeight="1" x14ac:dyDescent="0.25">
      <c r="A22" s="1"/>
      <c r="B22" s="46" t="s">
        <v>107</v>
      </c>
      <c r="C22" s="9">
        <f>'Fane 10.2. Engangstillæg'!E40</f>
        <v>0</v>
      </c>
      <c r="D22" s="8" t="s">
        <v>3</v>
      </c>
      <c r="E22" s="1"/>
    </row>
    <row r="23" spans="1:5" ht="15" customHeight="1" x14ac:dyDescent="0.25">
      <c r="A23" s="1"/>
      <c r="B23" s="45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71799911.121047616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200</v>
      </c>
      <c r="C3" s="77"/>
      <c r="D3" s="77"/>
      <c r="E3" s="77"/>
      <c r="F3" s="77"/>
      <c r="G3" s="1"/>
    </row>
    <row r="4" spans="1:7" ht="29.2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78" t="s">
        <v>25</v>
      </c>
      <c r="C9" s="79"/>
      <c r="D9" s="80"/>
      <c r="E9" s="7">
        <v>58253670.35462191</v>
      </c>
      <c r="F9" s="8" t="s">
        <v>3</v>
      </c>
      <c r="G9" s="1"/>
    </row>
    <row r="10" spans="1:7" x14ac:dyDescent="0.25">
      <c r="A10" s="1"/>
      <c r="B10" s="84" t="s">
        <v>233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84" t="s">
        <v>234</v>
      </c>
      <c r="C11" s="85"/>
      <c r="D11" s="86"/>
      <c r="E11" s="7">
        <v>893274.91247796232</v>
      </c>
      <c r="F11" s="8" t="s">
        <v>3</v>
      </c>
      <c r="G11" s="1"/>
    </row>
    <row r="12" spans="1:7" x14ac:dyDescent="0.25">
      <c r="A12" s="1"/>
      <c r="B12" s="81" t="s">
        <v>46</v>
      </c>
      <c r="C12" s="82"/>
      <c r="D12" s="83"/>
      <c r="E12" s="7">
        <v>340809.23250000004</v>
      </c>
      <c r="F12" s="8" t="s">
        <v>3</v>
      </c>
      <c r="G12" s="1"/>
    </row>
    <row r="13" spans="1:7" x14ac:dyDescent="0.25">
      <c r="A13" s="1"/>
      <c r="B13" s="81" t="s">
        <v>47</v>
      </c>
      <c r="C13" s="82"/>
      <c r="D13" s="83"/>
      <c r="E13" s="9">
        <v>62939.962800000001</v>
      </c>
      <c r="F13" s="8" t="s">
        <v>3</v>
      </c>
      <c r="G13" s="1"/>
    </row>
    <row r="14" spans="1:7" x14ac:dyDescent="0.25">
      <c r="A14" s="1"/>
      <c r="B14" s="81" t="s">
        <v>32</v>
      </c>
      <c r="C14" s="82"/>
      <c r="D14" s="83"/>
      <c r="E14" s="9">
        <v>0</v>
      </c>
      <c r="F14" s="8" t="s">
        <v>3</v>
      </c>
      <c r="G14" s="1"/>
    </row>
    <row r="15" spans="1:7" x14ac:dyDescent="0.25">
      <c r="A15" s="1"/>
      <c r="B15" s="81" t="s">
        <v>31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1" t="s">
        <v>193</v>
      </c>
      <c r="C16" s="82"/>
      <c r="D16" s="83"/>
      <c r="E16" s="9">
        <v>0</v>
      </c>
      <c r="F16" s="8" t="s">
        <v>3</v>
      </c>
      <c r="G16" s="1"/>
    </row>
    <row r="17" spans="1:7" x14ac:dyDescent="0.25">
      <c r="A17" s="1"/>
      <c r="B17" s="81" t="s">
        <v>194</v>
      </c>
      <c r="C17" s="82"/>
      <c r="D17" s="83"/>
      <c r="E17" s="9">
        <v>0</v>
      </c>
      <c r="F17" s="8" t="s">
        <v>3</v>
      </c>
      <c r="G17" s="1"/>
    </row>
    <row r="18" spans="1:7" x14ac:dyDescent="0.25">
      <c r="A18" s="1"/>
      <c r="B18" s="81" t="s">
        <v>20</v>
      </c>
      <c r="C18" s="82"/>
      <c r="D18" s="83"/>
      <c r="E18" s="9">
        <f>(E9-SUM(E10:E11))*'Fane 14. Nøgletal'!C10+SUM(E10:E11)*'Fane 14. Nøgletal'!C11+SUM(E12:E17)*'Fane 14. Nøgletal'!C12</f>
        <v>1026857.1254058068</v>
      </c>
      <c r="F18" s="8" t="s">
        <v>3</v>
      </c>
      <c r="G18" s="1"/>
    </row>
    <row r="19" spans="1:7" x14ac:dyDescent="0.25">
      <c r="A19" s="1"/>
      <c r="B19" s="81" t="s">
        <v>10</v>
      </c>
      <c r="C19" s="82"/>
      <c r="D19" s="83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1" t="s">
        <v>29</v>
      </c>
      <c r="C20" s="82"/>
      <c r="D20" s="83"/>
      <c r="E20" s="9">
        <f>-'Fane 4.1. Gen. krav - drift'!G28</f>
        <v>-440408.78896529519</v>
      </c>
      <c r="F20" s="8" t="s">
        <v>3</v>
      </c>
      <c r="G20" s="1"/>
    </row>
    <row r="21" spans="1:7" x14ac:dyDescent="0.25">
      <c r="A21" s="1"/>
      <c r="B21" s="81" t="s">
        <v>30</v>
      </c>
      <c r="C21" s="82"/>
      <c r="D21" s="83"/>
      <c r="E21" s="9">
        <f>-'Fane 4.2. Gen. krav - anlæg'!G27</f>
        <v>-659161.30230924359</v>
      </c>
      <c r="F21" s="8" t="s">
        <v>3</v>
      </c>
      <c r="G21" s="1"/>
    </row>
    <row r="22" spans="1:7" x14ac:dyDescent="0.25">
      <c r="A22" s="1"/>
      <c r="B22" s="93" t="s">
        <v>22</v>
      </c>
      <c r="C22" s="94"/>
      <c r="D22" s="95"/>
      <c r="E22" s="10">
        <f>SUM(E9,E12:E21)</f>
        <v>58584706.584053181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90" t="s">
        <v>13</v>
      </c>
      <c r="C24" s="91"/>
      <c r="D24" s="92"/>
      <c r="E24" s="10">
        <v>15096403.96371115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6" t="s">
        <v>111</v>
      </c>
      <c r="C26" s="97"/>
      <c r="D26" s="98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4" t="s">
        <v>106</v>
      </c>
      <c r="C28" s="85"/>
      <c r="D28" s="86"/>
      <c r="E28" s="34">
        <v>0</v>
      </c>
      <c r="F28" s="8" t="s">
        <v>3</v>
      </c>
      <c r="G28" s="1"/>
    </row>
    <row r="29" spans="1:7" ht="15.75" customHeight="1" x14ac:dyDescent="0.25">
      <c r="A29" s="1"/>
      <c r="B29" s="84" t="s">
        <v>107</v>
      </c>
      <c r="C29" s="85"/>
      <c r="D29" s="86"/>
      <c r="E29" s="34">
        <v>0</v>
      </c>
      <c r="F29" s="8" t="s">
        <v>3</v>
      </c>
      <c r="G29" s="1"/>
    </row>
    <row r="30" spans="1:7" x14ac:dyDescent="0.25">
      <c r="A30" s="1"/>
      <c r="B30" s="45" t="s">
        <v>112</v>
      </c>
      <c r="C30" s="43"/>
      <c r="D30" s="44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90" t="s">
        <v>267</v>
      </c>
      <c r="C32" s="91"/>
      <c r="D32" s="92"/>
      <c r="E32" s="10">
        <v>603172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90" t="s">
        <v>269</v>
      </c>
      <c r="C34" s="91"/>
      <c r="D34" s="92"/>
      <c r="E34" s="10">
        <v>-7530.9407413608715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74276751.607022971</v>
      </c>
      <c r="F35" s="13" t="s">
        <v>3</v>
      </c>
      <c r="G35" s="1"/>
    </row>
    <row r="36" spans="1:7" ht="26.85" customHeight="1" x14ac:dyDescent="0.25">
      <c r="A36" s="1"/>
      <c r="B36" s="87" t="s">
        <v>202</v>
      </c>
      <c r="C36" s="88"/>
      <c r="D36" s="88"/>
      <c r="E36" s="88"/>
      <c r="F36" s="8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7" t="s">
        <v>167</v>
      </c>
      <c r="C1" s="77"/>
      <c r="D1" s="77"/>
      <c r="E1" s="77"/>
      <c r="F1" s="77"/>
      <c r="G1" s="77"/>
      <c r="H1" s="77"/>
      <c r="I1" s="1"/>
    </row>
    <row r="2" spans="1:9" ht="15" customHeight="1" x14ac:dyDescent="0.25">
      <c r="A2" s="1"/>
      <c r="B2" s="77"/>
      <c r="C2" s="77"/>
      <c r="D2" s="77"/>
      <c r="E2" s="77"/>
      <c r="F2" s="77"/>
      <c r="G2" s="77"/>
      <c r="H2" s="77"/>
      <c r="I2" s="1"/>
    </row>
    <row r="3" spans="1:9" ht="15" customHeight="1" x14ac:dyDescent="0.25">
      <c r="A3" s="1"/>
      <c r="B3" s="77"/>
      <c r="C3" s="77"/>
      <c r="D3" s="77"/>
      <c r="E3" s="77"/>
      <c r="F3" s="77"/>
      <c r="G3" s="77"/>
      <c r="H3" s="77"/>
      <c r="I3" s="1"/>
    </row>
    <row r="4" spans="1:9" x14ac:dyDescent="0.25">
      <c r="A4" s="1"/>
      <c r="B4" s="99" t="s">
        <v>66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2" t="s">
        <v>55</v>
      </c>
      <c r="C5" s="103"/>
      <c r="D5" s="103"/>
      <c r="E5" s="103"/>
      <c r="F5" s="104"/>
      <c r="G5" s="24">
        <v>24775219</v>
      </c>
      <c r="H5" s="14" t="s">
        <v>3</v>
      </c>
      <c r="I5" s="1"/>
    </row>
    <row r="6" spans="1:9" x14ac:dyDescent="0.25">
      <c r="A6" s="1"/>
      <c r="B6" s="87" t="s">
        <v>183</v>
      </c>
      <c r="C6" s="88"/>
      <c r="D6" s="88"/>
      <c r="E6" s="88"/>
      <c r="F6" s="89"/>
      <c r="G6" s="24">
        <v>0</v>
      </c>
      <c r="H6" s="14" t="s">
        <v>3</v>
      </c>
      <c r="I6" s="1"/>
    </row>
    <row r="7" spans="1:9" x14ac:dyDescent="0.25">
      <c r="A7" s="1"/>
      <c r="B7" s="102" t="s">
        <v>56</v>
      </c>
      <c r="C7" s="103"/>
      <c r="D7" s="103"/>
      <c r="E7" s="103"/>
      <c r="F7" s="104"/>
      <c r="G7" s="24">
        <f>SUM(G5:G6)*'Fane 14. Nøgletal'!C27</f>
        <v>495504.38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67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57</v>
      </c>
      <c r="C11" s="103"/>
      <c r="D11" s="103"/>
      <c r="E11" s="103"/>
      <c r="F11" s="104"/>
      <c r="G11" s="24">
        <f>(G5-G7)*(1+'Fane 14. Nøgletal'!C10)</f>
        <v>24704609.625850003</v>
      </c>
      <c r="H11" s="14" t="s">
        <v>3</v>
      </c>
      <c r="I11" s="1"/>
    </row>
    <row r="12" spans="1:9" x14ac:dyDescent="0.25">
      <c r="A12" s="1"/>
      <c r="B12" s="102" t="s">
        <v>185</v>
      </c>
      <c r="C12" s="103"/>
      <c r="D12" s="103"/>
      <c r="E12" s="103"/>
      <c r="F12" s="104"/>
      <c r="G12" s="24">
        <v>-2907627.600406975</v>
      </c>
      <c r="H12" s="14" t="s">
        <v>3</v>
      </c>
      <c r="I12" s="1"/>
    </row>
    <row r="13" spans="1:9" x14ac:dyDescent="0.25">
      <c r="A13" s="1"/>
      <c r="B13" s="87" t="s">
        <v>182</v>
      </c>
      <c r="C13" s="88"/>
      <c r="D13" s="88"/>
      <c r="E13" s="88"/>
      <c r="F13" s="89"/>
      <c r="G13" s="24">
        <v>0</v>
      </c>
      <c r="H13" s="14" t="s">
        <v>3</v>
      </c>
      <c r="I13" s="1"/>
    </row>
    <row r="14" spans="1:9" x14ac:dyDescent="0.25">
      <c r="A14" s="1"/>
      <c r="B14" s="110" t="s">
        <v>58</v>
      </c>
      <c r="C14" s="108"/>
      <c r="D14" s="108"/>
      <c r="E14" s="108"/>
      <c r="F14" s="109"/>
      <c r="G14" s="24">
        <v>0</v>
      </c>
      <c r="H14" s="14" t="s">
        <v>3</v>
      </c>
      <c r="I14" s="1"/>
    </row>
    <row r="15" spans="1:9" x14ac:dyDescent="0.25">
      <c r="A15" s="1"/>
      <c r="B15" s="102" t="s">
        <v>59</v>
      </c>
      <c r="C15" s="103"/>
      <c r="D15" s="103"/>
      <c r="E15" s="103"/>
      <c r="F15" s="104"/>
      <c r="G15" s="24">
        <f>SUM(G11:G14)*'Fane 14. Nøgletal'!C27</f>
        <v>435939.64050886058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9" t="s">
        <v>68</v>
      </c>
      <c r="C18" s="100"/>
      <c r="D18" s="100"/>
      <c r="E18" s="100"/>
      <c r="F18" s="100"/>
      <c r="G18" s="100"/>
      <c r="H18" s="101"/>
      <c r="I18" s="1"/>
    </row>
    <row r="19" spans="1:9" x14ac:dyDescent="0.25">
      <c r="A19" s="1"/>
      <c r="B19" s="102" t="s">
        <v>60</v>
      </c>
      <c r="C19" s="103"/>
      <c r="D19" s="103"/>
      <c r="E19" s="103"/>
      <c r="F19" s="104"/>
      <c r="G19" s="24">
        <f>(G11+G12+G14-G15)*(1+'Fane 14. Nøgletal'!C10)</f>
        <v>21734860.626670517</v>
      </c>
      <c r="H19" s="14" t="s">
        <v>3</v>
      </c>
      <c r="I19" s="1"/>
    </row>
    <row r="20" spans="1:9" x14ac:dyDescent="0.25">
      <c r="A20" s="1"/>
      <c r="B20" s="110" t="s">
        <v>61</v>
      </c>
      <c r="C20" s="108"/>
      <c r="D20" s="108"/>
      <c r="E20" s="108"/>
      <c r="F20" s="109"/>
      <c r="G20" s="24">
        <v>0</v>
      </c>
      <c r="H20" s="14" t="s">
        <v>3</v>
      </c>
      <c r="I20" s="1"/>
    </row>
    <row r="21" spans="1:9" x14ac:dyDescent="0.25">
      <c r="A21" s="1"/>
      <c r="B21" s="102" t="s">
        <v>62</v>
      </c>
      <c r="C21" s="103"/>
      <c r="D21" s="103"/>
      <c r="E21" s="103"/>
      <c r="F21" s="104"/>
      <c r="G21" s="24">
        <f>(G19+G20)*'Fane 14. Nøgletal'!C27</f>
        <v>434697.21253341035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9" t="s">
        <v>69</v>
      </c>
      <c r="C24" s="100"/>
      <c r="D24" s="100"/>
      <c r="E24" s="100"/>
      <c r="F24" s="100"/>
      <c r="G24" s="100"/>
      <c r="H24" s="101"/>
      <c r="I24" s="1"/>
    </row>
    <row r="25" spans="1:9" x14ac:dyDescent="0.25">
      <c r="A25" s="1"/>
      <c r="B25" s="102" t="s">
        <v>63</v>
      </c>
      <c r="C25" s="103"/>
      <c r="D25" s="103"/>
      <c r="E25" s="103"/>
      <c r="F25" s="104"/>
      <c r="G25" s="24">
        <f>G19*(1-'Fane 14. Nøgletal'!C27)*(1+'Fane 14. Nøgletal'!C10)+G20*(1-'Fane 14. Nøgletal'!C27)*(1+'Fane 14. Nøgletal'!C11)</f>
        <v>21672916.273884509</v>
      </c>
      <c r="H25" s="14" t="s">
        <v>3</v>
      </c>
      <c r="I25" s="1"/>
    </row>
    <row r="26" spans="1:9" x14ac:dyDescent="0.25">
      <c r="A26" s="1"/>
      <c r="B26" s="105" t="s">
        <v>180</v>
      </c>
      <c r="C26" s="106"/>
      <c r="D26" s="106"/>
      <c r="E26" s="106"/>
      <c r="F26" s="107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110" t="s">
        <v>64</v>
      </c>
      <c r="C27" s="108"/>
      <c r="D27" s="108"/>
      <c r="E27" s="108"/>
      <c r="F27" s="109"/>
      <c r="G27" s="24">
        <v>347523.17438025004</v>
      </c>
      <c r="H27" s="14" t="s">
        <v>3</v>
      </c>
      <c r="I27" s="1"/>
    </row>
    <row r="28" spans="1:9" x14ac:dyDescent="0.25">
      <c r="A28" s="1"/>
      <c r="B28" s="102" t="s">
        <v>65</v>
      </c>
      <c r="C28" s="103"/>
      <c r="D28" s="103"/>
      <c r="E28" s="103"/>
      <c r="F28" s="104"/>
      <c r="G28" s="24">
        <f>SUM(G25,G27)*'Fane 14. Nøgletal'!C27</f>
        <v>440408.78896529519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72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2" t="s">
        <v>73</v>
      </c>
      <c r="C32" s="103"/>
      <c r="D32" s="103"/>
      <c r="E32" s="103"/>
      <c r="F32" s="104"/>
      <c r="G32" s="24">
        <f>(G25-G26)*(1-'Fane 14. Nøgletal'!C27)*(1+'Fane 14. Nøgletal'!C10)+G26*(1-'Fane 14. Nøgletal'!C27)*(1+'Fane 14. Nøgletal'!C11)+G27*(1-'Fane 14. Nøgletal'!C27)*(1+'Fane 14. Nøgletal'!C12)</f>
        <v>21958430.45580117</v>
      </c>
      <c r="H32" s="14" t="s">
        <v>3</v>
      </c>
      <c r="I32" s="1"/>
    </row>
    <row r="33" spans="1:9" x14ac:dyDescent="0.25">
      <c r="A33" s="1"/>
      <c r="B33" s="105" t="s">
        <v>180</v>
      </c>
      <c r="C33" s="108"/>
      <c r="D33" s="108"/>
      <c r="E33" s="108"/>
      <c r="F33" s="109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5" t="s">
        <v>181</v>
      </c>
      <c r="C34" s="108"/>
      <c r="D34" s="108"/>
      <c r="E34" s="108"/>
      <c r="F34" s="109"/>
      <c r="G34" s="24">
        <f>G27*(1-'Fane 14. Nøgletal'!C27)*(1+'Fane 14. Nøgletal'!C12)</f>
        <v>347281.99329723016</v>
      </c>
      <c r="H34" s="14" t="s">
        <v>3</v>
      </c>
      <c r="I34" s="1"/>
    </row>
    <row r="35" spans="1:9" x14ac:dyDescent="0.25">
      <c r="A35" s="1"/>
      <c r="B35" s="102" t="s">
        <v>239</v>
      </c>
      <c r="C35" s="103"/>
      <c r="D35" s="103"/>
      <c r="E35" s="103"/>
      <c r="F35" s="104"/>
      <c r="G35" s="24">
        <f>SUM('Fane 2.1. Økonomisk ramme 2021'!C14,'Fane 2.1. Økonomisk ramme 2021'!C16,'Fane 2.1. Økonomisk ramme 2021'!C18)*(1+'Fane 14. Nøgletal'!C13)</f>
        <v>108483.32937455999</v>
      </c>
      <c r="H35" s="14" t="s">
        <v>3</v>
      </c>
      <c r="I35" s="1"/>
    </row>
    <row r="36" spans="1:9" x14ac:dyDescent="0.25">
      <c r="A36" s="1"/>
      <c r="B36" s="102" t="s">
        <v>74</v>
      </c>
      <c r="C36" s="103"/>
      <c r="D36" s="103"/>
      <c r="E36" s="103"/>
      <c r="F36" s="104"/>
      <c r="G36" s="24">
        <f>SUM(G32,G35)*'Fane 14. Nøgletal'!C27</f>
        <v>441338.27570351458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9" t="s">
        <v>99</v>
      </c>
      <c r="C39" s="100"/>
      <c r="D39" s="100"/>
      <c r="E39" s="100"/>
      <c r="F39" s="100"/>
      <c r="G39" s="100"/>
      <c r="H39" s="101"/>
      <c r="I39" s="1"/>
    </row>
    <row r="40" spans="1:9" x14ac:dyDescent="0.25">
      <c r="A40" s="1"/>
      <c r="B40" s="102" t="s">
        <v>98</v>
      </c>
      <c r="C40" s="103"/>
      <c r="D40" s="103"/>
      <c r="E40" s="103"/>
      <c r="F40" s="104"/>
      <c r="G40" s="24">
        <f>(SUM(G32,G35)-G36)*(1+'Fane 14. Nøgletal'!C13)</f>
        <v>21889407.530687775</v>
      </c>
      <c r="H40" s="14" t="s">
        <v>3</v>
      </c>
      <c r="I40" s="1"/>
    </row>
    <row r="41" spans="1:9" x14ac:dyDescent="0.25">
      <c r="A41" s="1"/>
      <c r="B41" s="102" t="s">
        <v>114</v>
      </c>
      <c r="C41" s="103"/>
      <c r="D41" s="103"/>
      <c r="E41" s="103"/>
      <c r="F41" s="104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102" t="s">
        <v>75</v>
      </c>
      <c r="C42" s="103"/>
      <c r="D42" s="103"/>
      <c r="E42" s="103"/>
      <c r="F42" s="104"/>
      <c r="G42" s="24">
        <f>(G40+G41)*'Fane 14. Nøgletal'!C27</f>
        <v>437788.15061375551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9" t="s">
        <v>100</v>
      </c>
      <c r="C45" s="100"/>
      <c r="D45" s="100"/>
      <c r="E45" s="100"/>
      <c r="F45" s="100"/>
      <c r="G45" s="100"/>
      <c r="H45" s="101"/>
      <c r="I45" s="1"/>
    </row>
    <row r="46" spans="1:9" x14ac:dyDescent="0.25">
      <c r="A46" s="1"/>
      <c r="B46" s="102" t="s">
        <v>97</v>
      </c>
      <c r="C46" s="103"/>
      <c r="D46" s="103"/>
      <c r="E46" s="103"/>
      <c r="F46" s="104"/>
      <c r="G46" s="24">
        <f>(G40+G41-G42)*(1+'Fane 14. Nøgletal'!C13)</f>
        <v>21713329.136510924</v>
      </c>
      <c r="H46" s="14" t="s">
        <v>3</v>
      </c>
      <c r="I46" s="1"/>
    </row>
    <row r="47" spans="1:9" x14ac:dyDescent="0.25">
      <c r="A47" s="1"/>
      <c r="B47" s="102" t="s">
        <v>115</v>
      </c>
      <c r="C47" s="103"/>
      <c r="D47" s="103"/>
      <c r="E47" s="103"/>
      <c r="F47" s="104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102" t="s">
        <v>76</v>
      </c>
      <c r="C48" s="103"/>
      <c r="D48" s="103"/>
      <c r="E48" s="103"/>
      <c r="F48" s="104"/>
      <c r="G48" s="24">
        <f>(G46+G47)*'Fane 14. Nøgletal'!C27</f>
        <v>434266.58273021848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9" t="s">
        <v>240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2" t="s">
        <v>241</v>
      </c>
      <c r="C53" s="103"/>
      <c r="D53" s="103"/>
      <c r="E53" s="103"/>
      <c r="F53" s="104"/>
      <c r="G53" s="24">
        <f>(G46+G47-G48)*(1+'Fane 14. Nøgletal'!C13)</f>
        <v>21538667.116936829</v>
      </c>
      <c r="H53" s="14" t="s">
        <v>3</v>
      </c>
      <c r="I53" s="1"/>
    </row>
    <row r="54" spans="1:9" x14ac:dyDescent="0.25">
      <c r="A54" s="1"/>
      <c r="B54" s="102" t="s">
        <v>242</v>
      </c>
      <c r="C54" s="103"/>
      <c r="D54" s="103"/>
      <c r="E54" s="103"/>
      <c r="F54" s="104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102" t="s">
        <v>243</v>
      </c>
      <c r="C55" s="103"/>
      <c r="D55" s="103"/>
      <c r="E55" s="103"/>
      <c r="F55" s="104"/>
      <c r="G55" s="24">
        <f>(G53+G54)*'Fane 14. Nøgletal'!C27</f>
        <v>430773.34233873658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1.28515625" style="2" customWidth="1"/>
    <col min="7" max="7" width="12.42578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1" t="s">
        <v>166</v>
      </c>
      <c r="C2" s="111"/>
      <c r="D2" s="111"/>
      <c r="E2" s="111"/>
      <c r="F2" s="111"/>
      <c r="G2" s="111"/>
      <c r="H2" s="111"/>
      <c r="I2" s="1"/>
    </row>
    <row r="3" spans="1:9" ht="28.5" customHeight="1" x14ac:dyDescent="0.25">
      <c r="A3" s="1"/>
      <c r="B3" s="111"/>
      <c r="C3" s="111"/>
      <c r="D3" s="111"/>
      <c r="E3" s="111"/>
      <c r="F3" s="111"/>
      <c r="G3" s="111"/>
      <c r="H3" s="111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9" t="s">
        <v>70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77</v>
      </c>
      <c r="C6" s="103"/>
      <c r="D6" s="103"/>
      <c r="E6" s="103"/>
      <c r="F6" s="104"/>
      <c r="G6" s="24">
        <v>35864706</v>
      </c>
      <c r="H6" s="14" t="s">
        <v>3</v>
      </c>
      <c r="I6" s="1"/>
    </row>
    <row r="7" spans="1:9" x14ac:dyDescent="0.25">
      <c r="A7" s="1"/>
      <c r="B7" s="102" t="s">
        <v>71</v>
      </c>
      <c r="C7" s="103"/>
      <c r="D7" s="103"/>
      <c r="E7" s="103"/>
      <c r="F7" s="104"/>
      <c r="G7" s="24">
        <f>G6*'Fane 14. Nøgletal'!C18</f>
        <v>326368.82459999999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78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79</v>
      </c>
      <c r="C11" s="103"/>
      <c r="D11" s="103"/>
      <c r="E11" s="103"/>
      <c r="F11" s="104"/>
      <c r="G11" s="24">
        <f>(G6-G7)*(1+'Fane 14. Nøgletal'!C10)</f>
        <v>36160258.075969502</v>
      </c>
      <c r="H11" s="14" t="s">
        <v>3</v>
      </c>
      <c r="I11" s="1"/>
    </row>
    <row r="12" spans="1:9" x14ac:dyDescent="0.25">
      <c r="A12" s="1"/>
      <c r="B12" s="102" t="s">
        <v>186</v>
      </c>
      <c r="C12" s="103"/>
      <c r="D12" s="103"/>
      <c r="E12" s="103"/>
      <c r="F12" s="104"/>
      <c r="G12" s="24">
        <v>568463.40029559389</v>
      </c>
      <c r="H12" s="14" t="s">
        <v>3</v>
      </c>
      <c r="I12" s="1"/>
    </row>
    <row r="13" spans="1:9" x14ac:dyDescent="0.25">
      <c r="A13" s="1"/>
      <c r="B13" s="110" t="s">
        <v>80</v>
      </c>
      <c r="C13" s="108"/>
      <c r="D13" s="108"/>
      <c r="E13" s="108"/>
      <c r="F13" s="109"/>
      <c r="G13" s="24">
        <v>0</v>
      </c>
      <c r="H13" s="14" t="s">
        <v>3</v>
      </c>
      <c r="I13" s="1"/>
    </row>
    <row r="14" spans="1:9" x14ac:dyDescent="0.25">
      <c r="A14" s="1"/>
      <c r="B14" s="102" t="s">
        <v>81</v>
      </c>
      <c r="C14" s="103"/>
      <c r="D14" s="103"/>
      <c r="E14" s="103"/>
      <c r="F14" s="104"/>
      <c r="G14" s="24">
        <f>SUM(G11:G13)*'Fane 14. Nøgletal'!C19</f>
        <v>650098.37012989225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9" t="s">
        <v>82</v>
      </c>
      <c r="C17" s="100"/>
      <c r="D17" s="100"/>
      <c r="E17" s="100"/>
      <c r="F17" s="100"/>
      <c r="G17" s="100"/>
      <c r="H17" s="101"/>
      <c r="I17" s="1"/>
    </row>
    <row r="18" spans="1:9" x14ac:dyDescent="0.25">
      <c r="A18" s="1"/>
      <c r="B18" s="102" t="s">
        <v>83</v>
      </c>
      <c r="C18" s="103"/>
      <c r="D18" s="103"/>
      <c r="E18" s="103"/>
      <c r="F18" s="104"/>
      <c r="G18" s="24">
        <f>(G11+G12+G13-G14)*(1+'Fane 14. Nøgletal'!C10)</f>
        <v>36709999.010492571</v>
      </c>
      <c r="H18" s="14" t="s">
        <v>3</v>
      </c>
      <c r="I18" s="1"/>
    </row>
    <row r="19" spans="1:9" x14ac:dyDescent="0.25">
      <c r="A19" s="1"/>
      <c r="B19" s="110" t="s">
        <v>84</v>
      </c>
      <c r="C19" s="108"/>
      <c r="D19" s="108"/>
      <c r="E19" s="108"/>
      <c r="F19" s="109"/>
      <c r="G19" s="24">
        <v>901114.60958131985</v>
      </c>
      <c r="H19" s="14" t="s">
        <v>3</v>
      </c>
      <c r="I19" s="1"/>
    </row>
    <row r="20" spans="1:9" x14ac:dyDescent="0.25">
      <c r="A20" s="1"/>
      <c r="B20" s="102" t="s">
        <v>85</v>
      </c>
      <c r="C20" s="103"/>
      <c r="D20" s="103"/>
      <c r="E20" s="103"/>
      <c r="F20" s="104"/>
      <c r="G20" s="24">
        <f>G18*'Fane 14. Nøgletal'!C19+G19*'Fane 14. Nøgletal'!C20</f>
        <v>657606.67958907608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86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87</v>
      </c>
      <c r="C24" s="103"/>
      <c r="D24" s="103"/>
      <c r="E24" s="103"/>
      <c r="F24" s="104"/>
      <c r="G24" s="24">
        <f>G18*(1-'Fane 14. Nøgletal'!C19)*(1+'Fane 14. Nøgletal'!C10)+G19*(1-'Fane 14. Nøgletal'!C20)*(1+'Fane 14. Nøgletal'!C11)</f>
        <v>37599657.346995816</v>
      </c>
      <c r="H24" s="14" t="s">
        <v>3</v>
      </c>
      <c r="I24" s="1"/>
    </row>
    <row r="25" spans="1:9" x14ac:dyDescent="0.25">
      <c r="A25" s="1"/>
      <c r="B25" s="105" t="s">
        <v>177</v>
      </c>
      <c r="C25" s="108"/>
      <c r="D25" s="108"/>
      <c r="E25" s="108"/>
      <c r="F25" s="109"/>
      <c r="G25" s="24">
        <f>G19*(1-'Fane 14. Nøgletal'!C20)*(1+'Fane 14. Nøgletal'!C11)</f>
        <v>908371.2584988398</v>
      </c>
      <c r="H25" s="14" t="s">
        <v>3</v>
      </c>
      <c r="I25" s="1"/>
    </row>
    <row r="26" spans="1:9" x14ac:dyDescent="0.25">
      <c r="A26" s="1"/>
      <c r="B26" s="110" t="s">
        <v>88</v>
      </c>
      <c r="C26" s="108"/>
      <c r="D26" s="108"/>
      <c r="E26" s="108"/>
      <c r="F26" s="109"/>
      <c r="G26" s="24">
        <v>64179.880067160004</v>
      </c>
      <c r="H26" s="14" t="s">
        <v>3</v>
      </c>
      <c r="I26" s="1"/>
    </row>
    <row r="27" spans="1:9" x14ac:dyDescent="0.25">
      <c r="A27" s="1"/>
      <c r="B27" s="102" t="s">
        <v>89</v>
      </c>
      <c r="C27" s="103"/>
      <c r="D27" s="103"/>
      <c r="E27" s="103"/>
      <c r="F27" s="104"/>
      <c r="G27" s="24">
        <f>(G24-G25)*'Fane 14. Nøgletal'!C19+G25*'Fane 14. Nøgletal'!C20+G26*'Fane 14. Nøgletal'!C21</f>
        <v>659161.30230924359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9" t="s">
        <v>90</v>
      </c>
      <c r="C30" s="100"/>
      <c r="D30" s="100"/>
      <c r="E30" s="100"/>
      <c r="F30" s="100"/>
      <c r="G30" s="100"/>
      <c r="H30" s="101"/>
      <c r="I30" s="1"/>
    </row>
    <row r="31" spans="1:9" x14ac:dyDescent="0.25">
      <c r="A31" s="1"/>
      <c r="B31" s="102" t="s">
        <v>91</v>
      </c>
      <c r="C31" s="103"/>
      <c r="D31" s="103"/>
      <c r="E31" s="103"/>
      <c r="F31" s="104"/>
      <c r="G31" s="24">
        <f>(G24-G25)*(1-'Fane 14. Nøgletal'!C19)*(1+'Fane 14. Nøgletal'!C10)+G25*(1-'Fane 14. Nøgletal'!C20)*(1+'Fane 14. Nøgletal'!C11)+G26*(1-'Fane 14. Nøgletal'!C21)*(1+'Fane 14. Nøgletal'!C12)</f>
        <v>37651854.658157028</v>
      </c>
      <c r="H31" s="14" t="s">
        <v>3</v>
      </c>
      <c r="I31" s="1"/>
    </row>
    <row r="32" spans="1:9" x14ac:dyDescent="0.25">
      <c r="A32" s="1"/>
      <c r="B32" s="105" t="s">
        <v>178</v>
      </c>
      <c r="C32" s="108"/>
      <c r="D32" s="108"/>
      <c r="E32" s="108"/>
      <c r="F32" s="109"/>
      <c r="G32" s="24">
        <f>G25*(1-'Fane 14. Nøgletal'!C20)*(1+'Fane 14. Nøgletal'!C11)</f>
        <v>915686.34499239305</v>
      </c>
      <c r="H32" s="14" t="s">
        <v>3</v>
      </c>
      <c r="I32" s="1"/>
    </row>
    <row r="33" spans="1:9" x14ac:dyDescent="0.25">
      <c r="A33" s="1"/>
      <c r="B33" s="105" t="s">
        <v>179</v>
      </c>
      <c r="C33" s="108"/>
      <c r="D33" s="108"/>
      <c r="E33" s="108"/>
      <c r="F33" s="109"/>
      <c r="G33" s="24">
        <f>G26*(1-'Fane 14. Nøgletal'!C21)*(1+'Fane 14. Nøgletal'!C12)</f>
        <v>63585.60775127574</v>
      </c>
      <c r="H33" s="14" t="s">
        <v>3</v>
      </c>
      <c r="I33" s="1"/>
    </row>
    <row r="34" spans="1:9" x14ac:dyDescent="0.25">
      <c r="A34" s="1"/>
      <c r="B34" s="102" t="s">
        <v>244</v>
      </c>
      <c r="C34" s="103"/>
      <c r="D34" s="103"/>
      <c r="E34" s="103"/>
      <c r="F34" s="104"/>
      <c r="G34" s="24">
        <f>SUM('Fane 2.1. Økonomisk ramme 2021'!C15,'Fane 2.1. Økonomisk ramme 2021'!C17,'Fane 2.1. Økonomisk ramme 2021'!C19)*(1+'Fane 14. Nøgletal'!C13)</f>
        <v>337222.01973383245</v>
      </c>
      <c r="H34" s="14" t="s">
        <v>3</v>
      </c>
      <c r="I34" s="1"/>
    </row>
    <row r="35" spans="1:9" x14ac:dyDescent="0.25">
      <c r="A35" s="1"/>
      <c r="B35" s="102" t="s">
        <v>92</v>
      </c>
      <c r="C35" s="103"/>
      <c r="D35" s="103"/>
      <c r="E35" s="103"/>
      <c r="F35" s="104"/>
      <c r="G35" s="24">
        <f>(G31-SUM(G32:G33))*'Fane 14. Nøgletal'!C19+G32*'Fane 14. Nøgletal'!C20+G33*'Fane 14. Nøgletal'!C21+G34*'Fane 14. Nøgletal'!C22</f>
        <v>668150.62189006677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9" t="s">
        <v>101</v>
      </c>
      <c r="C38" s="100"/>
      <c r="D38" s="100"/>
      <c r="E38" s="100"/>
      <c r="F38" s="100"/>
      <c r="G38" s="100"/>
      <c r="H38" s="101"/>
      <c r="I38" s="1"/>
    </row>
    <row r="39" spans="1:9" x14ac:dyDescent="0.25">
      <c r="A39" s="1"/>
      <c r="B39" s="102" t="s">
        <v>96</v>
      </c>
      <c r="C39" s="103"/>
      <c r="D39" s="103"/>
      <c r="E39" s="103"/>
      <c r="F39" s="104"/>
      <c r="G39" s="24">
        <f>(SUM(G31,G34)-G35)*(1+'Fane 14. Nøgletal'!C13)</f>
        <v>37776241.353884004</v>
      </c>
      <c r="H39" s="14" t="s">
        <v>3</v>
      </c>
      <c r="I39" s="1"/>
    </row>
    <row r="40" spans="1:9" x14ac:dyDescent="0.25">
      <c r="A40" s="1"/>
      <c r="B40" s="102" t="s">
        <v>119</v>
      </c>
      <c r="C40" s="103"/>
      <c r="D40" s="103"/>
      <c r="E40" s="103"/>
      <c r="F40" s="104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102" t="s">
        <v>93</v>
      </c>
      <c r="C41" s="103"/>
      <c r="D41" s="103"/>
      <c r="E41" s="103"/>
      <c r="F41" s="104"/>
      <c r="G41" s="24">
        <f>(G39+G40)*'Fane 14. Nøgletal'!C22</f>
        <v>1038846.6372318101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102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95</v>
      </c>
      <c r="C45" s="103"/>
      <c r="D45" s="103"/>
      <c r="E45" s="103"/>
      <c r="F45" s="104"/>
      <c r="G45" s="24">
        <f>(G39+G40-G41)*(1+'Fane 14. Nøgletal'!C13)</f>
        <v>37185590.932195351</v>
      </c>
      <c r="H45" s="14" t="s">
        <v>3</v>
      </c>
      <c r="I45" s="1"/>
    </row>
    <row r="46" spans="1:9" x14ac:dyDescent="0.25">
      <c r="A46" s="1"/>
      <c r="B46" s="102" t="s">
        <v>120</v>
      </c>
      <c r="C46" s="103"/>
      <c r="D46" s="103"/>
      <c r="E46" s="103"/>
      <c r="F46" s="104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102" t="s">
        <v>94</v>
      </c>
      <c r="C47" s="103"/>
      <c r="D47" s="103"/>
      <c r="E47" s="103"/>
      <c r="F47" s="104"/>
      <c r="G47" s="24">
        <f>(G45+G46)*'Fane 14. Nøgletal'!C22</f>
        <v>1022603.7506353721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245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2" t="s">
        <v>246</v>
      </c>
      <c r="C52" s="103"/>
      <c r="D52" s="103"/>
      <c r="E52" s="103"/>
      <c r="F52" s="104"/>
      <c r="G52" s="24">
        <f>(G45+G46-G47)*(1+'Fane 14. Nøgletal'!C13)</f>
        <v>36604175.625175014</v>
      </c>
      <c r="H52" s="14" t="s">
        <v>3</v>
      </c>
      <c r="I52" s="1"/>
    </row>
    <row r="53" spans="1:9" x14ac:dyDescent="0.25">
      <c r="A53" s="1"/>
      <c r="B53" s="102" t="s">
        <v>247</v>
      </c>
      <c r="C53" s="103"/>
      <c r="D53" s="103"/>
      <c r="E53" s="103"/>
      <c r="F53" s="104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102" t="s">
        <v>248</v>
      </c>
      <c r="C54" s="103"/>
      <c r="D54" s="103"/>
      <c r="E54" s="103"/>
      <c r="F54" s="104"/>
      <c r="G54" s="24">
        <f>(G52+G53)*'Fane 14. Nøgletal'!C22</f>
        <v>1006614.8296923129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ONVGnLYx+GHAAwVjf5EzbRnZY2lYkN2eT8tgrPAou9VrORRkOGCndufUznW2tq37TvvCk0LAYs5y3vZSw/9ckQ==" saltValue="qp9na5l6jWuvJ75lbl8V1w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113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103</v>
      </c>
      <c r="C9" s="103"/>
      <c r="D9" s="103"/>
      <c r="E9" s="103"/>
      <c r="F9" s="104"/>
      <c r="G9" s="23">
        <v>0</v>
      </c>
      <c r="H9" s="14"/>
      <c r="I9" s="1"/>
    </row>
    <row r="10" spans="1:9" x14ac:dyDescent="0.25">
      <c r="A10" s="1"/>
      <c r="B10" s="102" t="s">
        <v>148</v>
      </c>
      <c r="C10" s="103"/>
      <c r="D10" s="103"/>
      <c r="E10" s="103"/>
      <c r="F10" s="104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7" t="s">
        <v>152</v>
      </c>
      <c r="C12" s="88"/>
      <c r="D12" s="88"/>
      <c r="E12" s="88"/>
      <c r="F12" s="88"/>
      <c r="G12" s="88"/>
      <c r="H12" s="89"/>
      <c r="I12" s="1"/>
    </row>
    <row r="13" spans="1:9" ht="30.75" customHeight="1" x14ac:dyDescent="0.25">
      <c r="A13" s="18"/>
      <c r="B13" s="112"/>
      <c r="C13" s="112"/>
      <c r="D13" s="112"/>
      <c r="E13" s="112"/>
      <c r="F13" s="112"/>
      <c r="G13" s="112"/>
      <c r="H13" s="112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2020-10-21T08:31:37Z</dcterms:modified>
</cp:coreProperties>
</file>