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Haderslev Vand AS (V071)\ØR2025\"/>
    </mc:Choice>
  </mc:AlternateContent>
  <xr:revisionPtr revIDLastSave="0" documentId="13_ncr:1_{21EC80C4-444A-4174-AC9B-C7D2F46AB9F8}"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2025'!$B$8:$D$35</definedName>
    <definedName name="Fane21total">'Fane 2.1. Økonomisk ramme 2025'!$C$35</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2025'!$B$8:$D$36</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2025'!$C$35</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20" i="39" l="1"/>
  <c r="E21" i="39" s="1"/>
  <c r="C20" i="39"/>
  <c r="C21" i="39" s="1"/>
  <c r="J11" i="11" l="1"/>
  <c r="E10" i="37" s="1"/>
  <c r="H11" i="11"/>
  <c r="C10" i="37" s="1"/>
  <c r="C30" i="41" l="1"/>
  <c r="C18" i="15" l="1"/>
  <c r="C30" i="2"/>
  <c r="C18" i="40" l="1"/>
  <c r="C19" i="19" l="1"/>
  <c r="C20" i="19" s="1"/>
  <c r="C16" i="43" l="1"/>
  <c r="C16" i="23"/>
  <c r="C16" i="15"/>
  <c r="C15" i="2"/>
  <c r="E21" i="37"/>
  <c r="E22" i="37" s="1"/>
  <c r="C21" i="37"/>
  <c r="C22"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5"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<sst xmlns="http://schemas.openxmlformats.org/spreadsheetml/2006/main" count="485" uniqueCount="210">
  <si>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</si>
  <si>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</si>
  <si>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</si>
  <si>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</si>
  <si>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</si>
  <si>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</si>
  <si>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</si>
  <si>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</si>
  <si>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</si>
  <si>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</si>
  <si>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</si>
  <si>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</si>
  <si>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</si>
  <si>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</si>
  <si>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</si>
  <si>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</si>
  <si>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</si>
  <si>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</si>
  <si>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</si>
  <si>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</si>
  <si>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</si>
  <si>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</si>
  <si>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</si>
  <si>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</si>
  <si>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</si>
  <si>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</si>
  <si>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</si>
  <si>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</si>
  <si>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</si>
  <si>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</si>
  <si>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</si>
  <si>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</si>
  <si>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</si>
  <si>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</si>
  <si>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</si>
  <si>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</si>
  <si>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</si>
  <si>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</si>
  <si>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</si>
  <si>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</si>
  <si>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</si>
  <si>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</si>
  <si>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</si>
  <si>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</si>
  <si>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</si>
  <si>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</si>
  <si>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</si>
  <si>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</si>
  <si>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</si>
  <si>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</si>
  <si>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</si>
  <si>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</si>
  <si>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</si>
  <si>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</si>
  <si>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</si>
  <si>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</si>
  <si>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</si>
  <si>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</si>
  <si>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</si>
  <si>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</si>
  <si>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</si>
  <si>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</si>
  <si>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</si>
  <si>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</si>
  <si>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</si>
  <si>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</si>
  <si>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</si>
  <si>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</si>
  <si>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</si>
  <si>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</si>
  <si>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</si>
  <si>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</si>
  <si>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</si>
  <si>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</si>
  <si>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</si>
  <si>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</si>
  <si>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</si>
  <si>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</si>
  <si>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</si>
  <si>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</si>
  <si>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</si>
  <si>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</si>
  <si>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</si>
  <si>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</si>
  <si>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</si>
  <si>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</si>
  <si>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</si>
  <si>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</si>
  <si>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</si>
  <si>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</si>
  <si>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</si>
  <si>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</si>
  <si>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</si>
  <si>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</si>
  <si>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</si>
  <si>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</si>
  <si>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</si>
  <si>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</si>
  <si>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</si>
  <si>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</si>
  <si>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</si>
  <si>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</si>
  <si>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</si>
  <si>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</si>
  <si>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</si>
  <si>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</si>
  <si>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</si>
  <si>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</si>
  <si>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</si>
  <si>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</si>
  <si>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</si>
  <si>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</si>
  <si>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</si>
  <si>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</si>
  <si>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</si>
  <si>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</si>
  <si>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</si>
  <si>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</si>
  <si>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</si>
  <si>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</si>
  <si>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</si>
  <si>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</si>
  <si>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</si>
  <si>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</si>
  <si>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</si>
  <si>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</si>
  <si>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</si>
  <si>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</si>
  <si>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</si>
  <si>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</si>
  <si>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</si>
  <si>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</si>
  <si>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</si>
  <si>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</si>
  <si>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</si>
  <si>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</si>
  <si>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</si>
  <si>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</si>
  <si>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</si>
  <si>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</si>
  <si>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</si>
  <si>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</si>
  <si>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</si>
  <si>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</si>
  <si>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</si>
  <si>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</si>
  <si>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</si>
  <si>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</si>
  <si>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</si>
  <si>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</si>
  <si>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</si>
  <si>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</si>
  <si>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</si>
  <si>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</si>
  <si>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</si>
  <si>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</si>
  <si>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</si>
  <si>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</si>
  <si>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</si>
  <si>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</si>
  <si>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</si>
  <si>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</si>
  <si>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</si>
  <si>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</si>
  <si>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</si>
  <si>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</si>
  <si>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</si>
  <si>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</si>
  <si>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</si>
  <si>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</si>
  <si>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</si>
  <si>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</si>
  <si>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</si>
  <si>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</si>
  <si>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</si>
  <si>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</si>
  <si>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</si>
  <si>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</si>
  <si>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</si>
  <si>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</si>
  <si>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</si>
  <si>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</si>
  <si>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</si>
  <si>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</si>
  <si>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</si>
  <si>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</si>
  <si>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</si>
  <si>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</si>
  <si>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</si>
  <si>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</si>
  <si>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</si>
  <si>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</si>
  <si>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</si>
  <si>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</si>
  <si>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</si>
  <si>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</si>
  <si>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</si>
  <si>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</si>
  <si>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</si>
  <si>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</si>
  <si>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362500023+57+58+59+60+62 Forsyningssikkerhed og vandspild</t>
  </si>
  <si>
    <t>370001042 Renovering af kildeplads Eskærhøj, opfølgning</t>
  </si>
  <si>
    <t>370001049 Haderslev, Lysleder kabel</t>
  </si>
  <si>
    <t>370001051 Eskærhøj trykforøger, opfølgning 2023</t>
  </si>
  <si>
    <t>370001053 Haderslev, Favrdal Vandværk, færdiggør</t>
  </si>
  <si>
    <t>316001012 Nye målere, VAND, 2023</t>
  </si>
  <si>
    <t>360500025 Nye tilslutninger, VAND, 2023</t>
  </si>
  <si>
    <t>Udvidelse af Forsyningsområdet, samlet</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</si>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</sst>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1" fontId="8" fillId="0"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1"/>
    </row>
    <row r="7" spans="1:7" ht="15" customHeight="1" x14ac:dyDescent="0.25">
      <c r="A7" s="1"/>
      <c r="B7" s="3"/>
      <c r="C7" s="79"/>
      <c r="D7" s="79"/>
      <c r="E7" s="79"/>
      <c r="F7" s="79"/>
      <c r="G7" s="1"/>
    </row>
    <row r="8" spans="1:7" ht="15.75" x14ac:dyDescent="0.25">
      <c r="A8" s="1"/>
      <c r="B8" s="4"/>
      <c r="C8" s="84" t="s">
        <v>196</v>
      </c>
      <c r="D8" s="84"/>
      <c r="E8" s="84"/>
      <c r="F8" s="84"/>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3" t="s">
        <v>5</v>
      </c>
      <c r="D11" s="83"/>
      <c r="E11" s="83"/>
      <c r="F11" s="83"/>
      <c r="G11" s="1"/>
    </row>
    <row r="12" spans="1:7" x14ac:dyDescent="0.25">
      <c r="A12" s="1"/>
      <c r="B12" s="1"/>
      <c r="C12" s="1"/>
      <c r="D12" s="1"/>
      <c r="E12" s="1"/>
      <c r="F12" s="1"/>
      <c r="G12" s="1"/>
    </row>
    <row r="13" spans="1:7" x14ac:dyDescent="0.25">
      <c r="A13" s="1"/>
      <c r="B13" s="6" t="s">
        <v>6</v>
      </c>
      <c r="C13" s="76" t="s">
        <v>124</v>
      </c>
      <c r="D13" s="77"/>
      <c r="E13" s="77"/>
      <c r="F13" s="78"/>
      <c r="G13" s="1"/>
    </row>
    <row r="14" spans="1:7" x14ac:dyDescent="0.25">
      <c r="A14" s="1"/>
      <c r="B14" s="6" t="s">
        <v>14</v>
      </c>
      <c r="C14" s="76" t="s">
        <v>159</v>
      </c>
      <c r="D14" s="77"/>
      <c r="E14" s="77"/>
      <c r="F14" s="78"/>
      <c r="G14" s="1"/>
    </row>
    <row r="15" spans="1:7" x14ac:dyDescent="0.25">
      <c r="A15" s="1"/>
      <c r="B15" s="6" t="s">
        <v>29</v>
      </c>
      <c r="C15" s="76" t="s">
        <v>107</v>
      </c>
      <c r="D15" s="77"/>
      <c r="E15" s="77"/>
      <c r="F15" s="78"/>
      <c r="G15" s="1"/>
    </row>
    <row r="16" spans="1:7" x14ac:dyDescent="0.25">
      <c r="A16" s="1"/>
      <c r="B16" s="6" t="s">
        <v>30</v>
      </c>
      <c r="C16" s="76" t="s">
        <v>125</v>
      </c>
      <c r="D16" s="77"/>
      <c r="E16" s="77"/>
      <c r="F16" s="78"/>
      <c r="G16" s="1"/>
    </row>
    <row r="17" spans="1:7" x14ac:dyDescent="0.25">
      <c r="A17" s="1"/>
      <c r="B17" s="6" t="s">
        <v>57</v>
      </c>
      <c r="C17" s="76" t="s">
        <v>126</v>
      </c>
      <c r="D17" s="77"/>
      <c r="E17" s="77"/>
      <c r="F17" s="78"/>
      <c r="G17" s="1"/>
    </row>
    <row r="18" spans="1:7" x14ac:dyDescent="0.25">
      <c r="A18" s="1"/>
      <c r="B18" s="6" t="s">
        <v>49</v>
      </c>
      <c r="C18" s="85" t="s">
        <v>42</v>
      </c>
      <c r="D18" s="86"/>
      <c r="E18" s="86"/>
      <c r="F18" s="87"/>
      <c r="G18" s="1"/>
    </row>
    <row r="19" spans="1:7" x14ac:dyDescent="0.25">
      <c r="A19" s="1"/>
      <c r="B19" s="6" t="s">
        <v>50</v>
      </c>
      <c r="C19" s="85" t="s">
        <v>43</v>
      </c>
      <c r="D19" s="86"/>
      <c r="E19" s="86"/>
      <c r="F19" s="87"/>
      <c r="G19" s="1"/>
    </row>
    <row r="20" spans="1:7" x14ac:dyDescent="0.25">
      <c r="A20" s="1"/>
      <c r="B20" s="6" t="s">
        <v>7</v>
      </c>
      <c r="C20" s="85" t="s">
        <v>9</v>
      </c>
      <c r="D20" s="86"/>
      <c r="E20" s="86"/>
      <c r="F20" s="87"/>
      <c r="G20" s="1"/>
    </row>
    <row r="21" spans="1:7" x14ac:dyDescent="0.25">
      <c r="A21" s="1"/>
      <c r="B21" s="6" t="s">
        <v>51</v>
      </c>
      <c r="C21" s="91" t="s">
        <v>11</v>
      </c>
      <c r="D21" s="92"/>
      <c r="E21" s="92"/>
      <c r="F21" s="93"/>
      <c r="G21" s="1"/>
    </row>
    <row r="22" spans="1:7" x14ac:dyDescent="0.25">
      <c r="A22" s="1"/>
      <c r="B22" s="6" t="s">
        <v>37</v>
      </c>
      <c r="C22" s="80" t="s">
        <v>127</v>
      </c>
      <c r="D22" s="81"/>
      <c r="E22" s="81"/>
      <c r="F22" s="82"/>
      <c r="G22" s="1"/>
    </row>
    <row r="23" spans="1:7" x14ac:dyDescent="0.25">
      <c r="A23" s="1"/>
      <c r="B23" s="6" t="s">
        <v>8</v>
      </c>
      <c r="C23" s="80" t="s">
        <v>89</v>
      </c>
      <c r="D23" s="81"/>
      <c r="E23" s="81"/>
      <c r="F23" s="82"/>
      <c r="G23" s="1"/>
    </row>
    <row r="24" spans="1:7" x14ac:dyDescent="0.25">
      <c r="A24" s="1"/>
      <c r="B24" s="6" t="s">
        <v>85</v>
      </c>
      <c r="C24" s="80" t="s">
        <v>78</v>
      </c>
      <c r="D24" s="81"/>
      <c r="E24" s="81"/>
      <c r="F24" s="82"/>
      <c r="G24" s="1"/>
    </row>
    <row r="25" spans="1:7" x14ac:dyDescent="0.25">
      <c r="A25" s="1"/>
      <c r="B25" s="6" t="s">
        <v>86</v>
      </c>
      <c r="C25" s="80" t="s">
        <v>38</v>
      </c>
      <c r="D25" s="81"/>
      <c r="E25" s="81"/>
      <c r="F25" s="82"/>
      <c r="G25" s="1"/>
    </row>
    <row r="26" spans="1:7" x14ac:dyDescent="0.25">
      <c r="A26" s="1"/>
      <c r="B26" s="6" t="s">
        <v>87</v>
      </c>
      <c r="C26" s="80" t="s">
        <v>39</v>
      </c>
      <c r="D26" s="81"/>
      <c r="E26" s="81"/>
      <c r="F26" s="82"/>
      <c r="G26" s="1"/>
    </row>
    <row r="27" spans="1:7" x14ac:dyDescent="0.25">
      <c r="A27" s="1"/>
      <c r="B27" s="6" t="s">
        <v>52</v>
      </c>
      <c r="C27" s="80" t="s">
        <v>58</v>
      </c>
      <c r="D27" s="81"/>
      <c r="E27" s="81"/>
      <c r="F27" s="82"/>
      <c r="G27" s="1"/>
    </row>
    <row r="28" spans="1:7" x14ac:dyDescent="0.25">
      <c r="A28" s="1"/>
      <c r="B28" s="6" t="s">
        <v>46</v>
      </c>
      <c r="C28" s="80" t="s">
        <v>31</v>
      </c>
      <c r="D28" s="81"/>
      <c r="E28" s="81"/>
      <c r="F28" s="82"/>
      <c r="G28" s="1"/>
    </row>
    <row r="29" spans="1:7" x14ac:dyDescent="0.25">
      <c r="A29" s="1"/>
      <c r="B29" s="6" t="s">
        <v>88</v>
      </c>
      <c r="C29" s="88" t="s">
        <v>47</v>
      </c>
      <c r="D29" s="89"/>
      <c r="E29" s="89"/>
      <c r="F29" s="90"/>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1VB/Qq87MifXEsCkw92zsRv0X820yQ93aVwqWFL/2yZxwlwNTD6RSb8JcwjbnbpU7yS0rJqcYy/TPKd8gGkYyA==" saltValue="FrR2SCre46xPE+7+Jb3LTQ=="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51"/>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26174522.323269356</v>
      </c>
      <c r="D9" s="8" t="s">
        <v>3</v>
      </c>
      <c r="E9" s="1"/>
    </row>
    <row r="10" spans="1:5" ht="17.100000000000001" customHeight="1" x14ac:dyDescent="0.25">
      <c r="A10" s="1"/>
      <c r="B10" s="24" t="s">
        <v>32</v>
      </c>
      <c r="C10" s="7">
        <f>'Fane 10.1. Varige tillæg'!C22</f>
        <v>16708.921000000002</v>
      </c>
      <c r="D10" s="8" t="s">
        <v>3</v>
      </c>
      <c r="E10" s="1"/>
    </row>
    <row r="11" spans="1:5" ht="17.100000000000001" customHeight="1" x14ac:dyDescent="0.25">
      <c r="A11" s="1"/>
      <c r="B11" s="24" t="s">
        <v>33</v>
      </c>
      <c r="C11" s="9">
        <f>'Fane 10.1. Varige tillæg'!E22</f>
        <v>302489.0503</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1756533.6555299482</v>
      </c>
      <c r="D16" s="8" t="s">
        <v>3</v>
      </c>
      <c r="E16" s="1"/>
    </row>
    <row r="17" spans="1:5" ht="17.100000000000001" customHeight="1" x14ac:dyDescent="0.25">
      <c r="A17" s="1"/>
      <c r="B17" s="24" t="s">
        <v>9</v>
      </c>
      <c r="C17" s="9">
        <f>-SUM(C9:C16)*'Fane 5. Individuelt eff. krav'!C9</f>
        <v>-321499.63449683617</v>
      </c>
      <c r="D17" s="8" t="s">
        <v>3</v>
      </c>
      <c r="E17" s="1"/>
    </row>
    <row r="18" spans="1:5" ht="17.100000000000001" customHeight="1" x14ac:dyDescent="0.25">
      <c r="A18" s="1"/>
      <c r="B18" s="24" t="s">
        <v>21</v>
      </c>
      <c r="C18" s="9">
        <f>-'Fane 4.1. Gen. krav - drift'!C17</f>
        <v>-240206.9841476471</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27688547.331454821</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12307612.845615491</v>
      </c>
      <c r="D22" s="11" t="s">
        <v>3</v>
      </c>
      <c r="E22" s="1"/>
    </row>
    <row r="23" spans="1:5" ht="15" customHeight="1" x14ac:dyDescent="0.25">
      <c r="A23" s="1"/>
      <c r="B23" s="52" t="s">
        <v>39</v>
      </c>
      <c r="C23" s="53"/>
      <c r="D23" s="19"/>
      <c r="E23" s="1"/>
    </row>
    <row r="24" spans="1:5" ht="15" customHeight="1" x14ac:dyDescent="0.25">
      <c r="A24" s="1"/>
      <c r="B24" s="24" t="s">
        <v>35</v>
      </c>
      <c r="C24" s="9">
        <f>'Fane 10.2. Engangstillæg'!C21</f>
        <v>0</v>
      </c>
      <c r="D24" s="8" t="s">
        <v>3</v>
      </c>
      <c r="E24" s="1"/>
    </row>
    <row r="25" spans="1:5" ht="15" customHeight="1" x14ac:dyDescent="0.25">
      <c r="A25" s="1"/>
      <c r="B25" s="24" t="s">
        <v>36</v>
      </c>
      <c r="C25" s="9">
        <f>'Fane 10.2. Engangstillæg'!E21</f>
        <v>934434.22284804995</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-10634.249930554241</v>
      </c>
      <c r="D27" s="8" t="s">
        <v>3</v>
      </c>
      <c r="E27" s="1"/>
    </row>
    <row r="28" spans="1:5" x14ac:dyDescent="0.25">
      <c r="A28" s="1"/>
      <c r="B28" s="74" t="s">
        <v>40</v>
      </c>
      <c r="C28" s="50">
        <f>SUM(C24:C27)</f>
        <v>923799.97291749576</v>
      </c>
      <c r="D28" s="11" t="s">
        <v>3</v>
      </c>
      <c r="E28" s="1"/>
    </row>
    <row r="29" spans="1:5" ht="15" customHeight="1" x14ac:dyDescent="0.25">
      <c r="A29" s="1"/>
      <c r="B29" s="25" t="s">
        <v>65</v>
      </c>
      <c r="C29" s="53"/>
      <c r="D29" s="19"/>
      <c r="E29" s="1"/>
    </row>
    <row r="30" spans="1:5" x14ac:dyDescent="0.25">
      <c r="A30" s="1"/>
      <c r="B30" s="58" t="s">
        <v>66</v>
      </c>
      <c r="C30" s="10">
        <f>'Fane 7. Kontrol af ØR2023'!C30</f>
        <v>-199461.67672069371</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25" t="s">
        <v>208</v>
      </c>
      <c r="C33" s="53"/>
      <c r="D33" s="19"/>
      <c r="E33" s="1"/>
    </row>
    <row r="34" spans="1:5" x14ac:dyDescent="0.25">
      <c r="A34" s="1"/>
      <c r="B34" s="58" t="s">
        <v>209</v>
      </c>
      <c r="C34" s="10">
        <v>587164.48271313705</v>
      </c>
      <c r="D34" s="11" t="s">
        <v>3</v>
      </c>
      <c r="E34" s="1"/>
    </row>
    <row r="35" spans="1:5" x14ac:dyDescent="0.25">
      <c r="A35" s="1"/>
      <c r="B35" s="52" t="s">
        <v>69</v>
      </c>
      <c r="C35" s="29">
        <f>SUM(C20,C22,C28,C30,C32,C34)</f>
        <v>41307662.955980256</v>
      </c>
      <c r="D35" s="19" t="s">
        <v>3</v>
      </c>
      <c r="E35" s="1"/>
    </row>
    <row r="36" spans="1:5" x14ac:dyDescent="0.25">
      <c r="A36" s="1"/>
      <c r="B36" s="1" t="s">
        <v>82</v>
      </c>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x14ac:dyDescent="0.25">
      <c r="A51" s="1"/>
      <c r="B51" s="1"/>
      <c r="C51" s="1"/>
      <c r="D51" s="1"/>
      <c r="E51" s="1"/>
    </row>
  </sheetData>
  <sheetProtection algorithmName="SHA-512" hashValue="PS26NsY+Dibh2RLOX386uejnSBSr6QOsWULdtabZiTzJbrZ5r+hRl8sr2QrWR4F/yelmjacIxywUOn+S9QNZQA==" saltValue="LnUjgtYE45iq1sbBTQ1Yi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27688547.331454821</v>
      </c>
      <c r="D9" s="8" t="s">
        <v>3</v>
      </c>
      <c r="E9" s="1"/>
    </row>
    <row r="10" spans="1:5" ht="15" customHeight="1" x14ac:dyDescent="0.25">
      <c r="A10" s="1"/>
      <c r="B10" s="47" t="s">
        <v>17</v>
      </c>
      <c r="C10" s="41">
        <f>C9*'Fane 13. Nøgletal'!C11</f>
        <v>1835750.6880754547</v>
      </c>
      <c r="D10" s="8" t="s">
        <v>3</v>
      </c>
      <c r="E10" s="1"/>
    </row>
    <row r="11" spans="1:5" ht="15" customHeight="1" x14ac:dyDescent="0.25">
      <c r="A11" s="1"/>
      <c r="B11" s="47" t="s">
        <v>9</v>
      </c>
      <c r="C11" s="9">
        <f>-SUM(C9:C10)*'Fane 5. Individuelt eff. krav'!C9</f>
        <v>-335998.78566830658</v>
      </c>
      <c r="D11" s="8" t="s">
        <v>3</v>
      </c>
      <c r="E11" s="1"/>
    </row>
    <row r="12" spans="1:5" ht="15" customHeight="1" x14ac:dyDescent="0.25">
      <c r="A12" s="1"/>
      <c r="B12" s="47" t="s">
        <v>21</v>
      </c>
      <c r="C12" s="9">
        <f>-'Fane 4.1. Gen. krav - drift'!C22</f>
        <v>-251010.05305270338</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28937289.180809263</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13123607.577279799</v>
      </c>
      <c r="D16" s="11" t="s">
        <v>3</v>
      </c>
      <c r="E16" s="1"/>
    </row>
    <row r="17" spans="1:5" x14ac:dyDescent="0.25">
      <c r="A17" s="1"/>
      <c r="B17" s="25" t="s">
        <v>65</v>
      </c>
      <c r="C17" s="53"/>
      <c r="D17" s="19"/>
      <c r="E17" s="1"/>
    </row>
    <row r="18" spans="1:5" ht="15" customHeight="1" x14ac:dyDescent="0.25">
      <c r="A18" s="1"/>
      <c r="B18" s="45" t="s">
        <v>66</v>
      </c>
      <c r="C18" s="10">
        <f>'Fane 7. Kontrol af ØR2023'!C30</f>
        <v>-199461.67672069371</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41861435.081368372</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2anyXGYA4AsXht1Xd863zdIR/lElq8x57J4BrvzW51tKm4q/Rt5MJYgx8Nq9MoaBh3iDRZX/HhuxKbf1XjzBg==" saltValue="nS4/2hUfO8mwrsbM15vRd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28937289.180809263</v>
      </c>
      <c r="D9" s="8" t="s">
        <v>3</v>
      </c>
      <c r="E9" s="1"/>
    </row>
    <row r="10" spans="1:5" ht="15" customHeight="1" x14ac:dyDescent="0.25">
      <c r="A10" s="1"/>
      <c r="B10" s="47" t="s">
        <v>17</v>
      </c>
      <c r="C10" s="41">
        <f>C9*'Fane 13. Nøgletal'!C11</f>
        <v>1918542.272687654</v>
      </c>
      <c r="D10" s="8" t="s">
        <v>3</v>
      </c>
      <c r="E10" s="1"/>
    </row>
    <row r="11" spans="1:5" ht="15" customHeight="1" x14ac:dyDescent="0.25">
      <c r="A11" s="1"/>
      <c r="B11" s="47" t="s">
        <v>9</v>
      </c>
      <c r="C11" s="9">
        <f>-SUM(C9:C10)*'Fane 5. Individuelt eff. krav'!C9</f>
        <v>-351152.18970838207</v>
      </c>
      <c r="D11" s="8" t="s">
        <v>3</v>
      </c>
      <c r="E11" s="1"/>
    </row>
    <row r="12" spans="1:5" ht="15" customHeight="1" x14ac:dyDescent="0.25">
      <c r="A12" s="1"/>
      <c r="B12" s="47" t="s">
        <v>21</v>
      </c>
      <c r="C12" s="9">
        <f>-'Fane 4.1. Gen. krav - drift'!C27</f>
        <v>-262298.97917869571</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30242380.284609839</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13993702.759653449</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44236083.044263288</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HUec/I8fgCBIfP3wqioranWepUfWhHWoTX+VfTEoxMcHydNwo/BsxZOIkf/Fq6ZRjz0lgVp7h7E/UooyCNS+aQ==" saltValue="hT3QT6RgzVeK76hXtGnzq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30242380.284609839</v>
      </c>
      <c r="D9" s="8" t="s">
        <v>3</v>
      </c>
      <c r="E9" s="1"/>
    </row>
    <row r="10" spans="1:5" ht="15" customHeight="1" x14ac:dyDescent="0.25">
      <c r="A10" s="1"/>
      <c r="B10" s="47" t="s">
        <v>17</v>
      </c>
      <c r="C10" s="9">
        <f>C9*'Fane 13. Nøgletal'!C11</f>
        <v>2005069.8128696324</v>
      </c>
      <c r="D10" s="8" t="s">
        <v>3</v>
      </c>
      <c r="E10" s="1"/>
    </row>
    <row r="11" spans="1:5" ht="15" customHeight="1" x14ac:dyDescent="0.25">
      <c r="A11" s="1"/>
      <c r="B11" s="47" t="s">
        <v>9</v>
      </c>
      <c r="C11" s="9">
        <f>-SUM(C9:C10)*'Fane 5. Individuelt eff. krav'!C9</f>
        <v>-366989.38841780461</v>
      </c>
      <c r="D11" s="8" t="s">
        <v>3</v>
      </c>
      <c r="E11" s="1"/>
    </row>
    <row r="12" spans="1:5" ht="15" customHeight="1" x14ac:dyDescent="0.25">
      <c r="A12" s="1"/>
      <c r="B12" s="47" t="s">
        <v>21</v>
      </c>
      <c r="C12" s="9">
        <f>-'Fane 4.1. Gen. krav - drift'!C32</f>
        <v>-274095.61346827837</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31606365.095593389</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14921485.252618475</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46527850.348211862</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0qZA/pvE7I0yoRYRISoGPHgoF4l6gW2BfltGSzUqOHu1s97oYacFY8dHk6xJjoa9/5VHmS5PPaRRWWGJuE1jow==" saltValue="W2Cz58rkRvkjRCie871b8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6" t="s">
        <v>134</v>
      </c>
      <c r="C3" s="96"/>
      <c r="D3" s="96"/>
      <c r="E3" s="1"/>
    </row>
    <row r="4" spans="1:5" ht="15" customHeight="1" x14ac:dyDescent="0.25">
      <c r="A4" s="1"/>
      <c r="B4" s="96"/>
      <c r="C4" s="96"/>
      <c r="D4" s="96"/>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24580700.192199688</v>
      </c>
      <c r="D9" s="8" t="s">
        <v>3</v>
      </c>
      <c r="E9" s="1"/>
    </row>
    <row r="10" spans="1:5" x14ac:dyDescent="0.25">
      <c r="A10" s="1"/>
      <c r="B10" s="24" t="s">
        <v>32</v>
      </c>
      <c r="C10" s="7">
        <v>760751.34239999996</v>
      </c>
      <c r="D10" s="8" t="s">
        <v>3</v>
      </c>
      <c r="E10" s="1"/>
    </row>
    <row r="11" spans="1:5" ht="15" customHeight="1" x14ac:dyDescent="0.25">
      <c r="A11" s="1"/>
      <c r="B11" s="24" t="s">
        <v>33</v>
      </c>
      <c r="C11" s="9">
        <v>615206.49120000005</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986250.31979718897</v>
      </c>
      <c r="D16" s="8" t="s">
        <v>3</v>
      </c>
      <c r="E16" s="1"/>
    </row>
    <row r="17" spans="1:5" x14ac:dyDescent="0.25">
      <c r="A17" s="1"/>
      <c r="B17" s="24" t="s">
        <v>9</v>
      </c>
      <c r="C17" s="9">
        <v>-538858.16691193753</v>
      </c>
      <c r="D17" s="8" t="s">
        <v>3</v>
      </c>
      <c r="E17" s="1"/>
    </row>
    <row r="18" spans="1:5" x14ac:dyDescent="0.25">
      <c r="A18" s="1"/>
      <c r="B18" s="24" t="s">
        <v>21</v>
      </c>
      <c r="C18" s="9">
        <v>-229527.85541558277</v>
      </c>
      <c r="D18" s="8" t="s">
        <v>3</v>
      </c>
      <c r="E18" s="1"/>
    </row>
    <row r="19" spans="1:5" x14ac:dyDescent="0.25">
      <c r="A19" s="1"/>
      <c r="B19" s="24" t="s">
        <v>22</v>
      </c>
      <c r="C19" s="9">
        <v>0</v>
      </c>
      <c r="D19" s="8" t="s">
        <v>3</v>
      </c>
      <c r="E19" s="1"/>
    </row>
    <row r="20" spans="1:5" x14ac:dyDescent="0.25">
      <c r="A20" s="1"/>
      <c r="B20" s="74" t="s">
        <v>19</v>
      </c>
      <c r="C20" s="10">
        <v>26174522.323269356</v>
      </c>
      <c r="D20" s="11" t="s">
        <v>3</v>
      </c>
      <c r="E20" s="1"/>
    </row>
    <row r="21" spans="1:5" x14ac:dyDescent="0.25">
      <c r="A21" s="1"/>
      <c r="B21" s="52" t="s">
        <v>11</v>
      </c>
      <c r="C21" s="53"/>
      <c r="D21" s="19"/>
      <c r="E21" s="1"/>
    </row>
    <row r="22" spans="1:5" x14ac:dyDescent="0.25">
      <c r="A22" s="1"/>
      <c r="B22" s="54" t="s">
        <v>11</v>
      </c>
      <c r="C22" s="10">
        <v>11334909.51977543</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4" t="s">
        <v>40</v>
      </c>
      <c r="C28" s="10">
        <v>0</v>
      </c>
      <c r="D28" s="11" t="s">
        <v>3</v>
      </c>
      <c r="E28" s="1"/>
    </row>
    <row r="29" spans="1:5" x14ac:dyDescent="0.25">
      <c r="A29" s="1"/>
      <c r="B29" s="25" t="s">
        <v>65</v>
      </c>
      <c r="C29" s="53"/>
      <c r="D29" s="19"/>
      <c r="E29" s="1"/>
    </row>
    <row r="30" spans="1:5" x14ac:dyDescent="0.25">
      <c r="A30" s="1"/>
      <c r="B30" s="58" t="s">
        <v>66</v>
      </c>
      <c r="C30" s="10">
        <v>55755.219999998808</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52" t="s">
        <v>67</v>
      </c>
      <c r="C33" s="29">
        <v>37565187.063044786</v>
      </c>
      <c r="D33" s="19" t="s">
        <v>3</v>
      </c>
      <c r="E33" s="1"/>
    </row>
    <row r="34" spans="1:5" ht="30" customHeight="1" x14ac:dyDescent="0.25">
      <c r="A34" s="1"/>
      <c r="B34" s="97" t="s">
        <v>193</v>
      </c>
      <c r="C34" s="97"/>
      <c r="D34" s="97"/>
      <c r="E34" s="1"/>
    </row>
    <row r="35" spans="1:5" ht="27.75" customHeight="1"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WafcbDD8pkXWqj3lknz+s94c0k7F9czJi24SsFgKgmL/qXe9q/w+8TDwO0qSJJsRSxlghUPxC6bQz+s7aRdHug==" saltValue="VPP4GJxA7DNN7lxqs4cXOA=="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6" t="s">
        <v>53</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32"/>
      <c r="D7" s="1"/>
      <c r="E7" s="1"/>
    </row>
    <row r="8" spans="1:5" x14ac:dyDescent="0.25">
      <c r="A8" s="1"/>
      <c r="B8" s="98" t="s">
        <v>75</v>
      </c>
      <c r="C8" s="99"/>
      <c r="D8" s="100"/>
      <c r="E8" s="1"/>
    </row>
    <row r="9" spans="1:5" x14ac:dyDescent="0.25">
      <c r="A9" s="1"/>
      <c r="B9" s="56" t="s">
        <v>167</v>
      </c>
      <c r="C9" s="22">
        <v>10654173.127261052</v>
      </c>
      <c r="D9" s="14" t="s">
        <v>3</v>
      </c>
      <c r="E9" s="1"/>
    </row>
    <row r="10" spans="1:5" x14ac:dyDescent="0.25">
      <c r="A10" s="1"/>
      <c r="B10" s="56" t="s">
        <v>110</v>
      </c>
      <c r="C10" s="22">
        <f>('Fane 3. Omkostninger i ØR2024'!C10+'Fane 3. Omkostninger i ØR2024'!C12+'Fane 3. Omkostninger i ØR2024'!C14)*(1+'Fane 13. Nøgletal'!C10)</f>
        <v>822220.05086591991</v>
      </c>
      <c r="D10" s="14" t="s">
        <v>3</v>
      </c>
      <c r="E10" s="1"/>
    </row>
    <row r="11" spans="1:5" x14ac:dyDescent="0.25">
      <c r="A11" s="1"/>
      <c r="B11" s="56" t="s">
        <v>81</v>
      </c>
      <c r="C11" s="22">
        <f>C9*'Fane 13. Nøgletal'!C23+C10*'Fane 13. Nøgletal'!C23</f>
        <v>229527.86356253942</v>
      </c>
      <c r="D11" s="14" t="s">
        <v>3</v>
      </c>
      <c r="E11" s="1"/>
    </row>
    <row r="12" spans="1:5" x14ac:dyDescent="0.25">
      <c r="A12" s="1"/>
      <c r="B12" s="52"/>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11992532.484920055</v>
      </c>
      <c r="D15" s="14" t="s">
        <v>3</v>
      </c>
      <c r="E15" s="1"/>
    </row>
    <row r="16" spans="1:5" x14ac:dyDescent="0.25">
      <c r="A16" s="1"/>
      <c r="B16" s="56" t="s">
        <v>154</v>
      </c>
      <c r="C16" s="22">
        <f>('Fane 2.1. Økonomisk ramme 2025'!C10+'Fane 2.1. Økonomisk ramme 2025'!C12+'Fane 2.1. Økonomisk ramme 2025'!C14)*(1+'Fane 13. Nøgletal'!C11)</f>
        <v>17816.722462300004</v>
      </c>
      <c r="D16" s="14" t="s">
        <v>3</v>
      </c>
      <c r="E16" s="1"/>
    </row>
    <row r="17" spans="1:5" x14ac:dyDescent="0.25">
      <c r="A17" s="1"/>
      <c r="B17" s="56" t="s">
        <v>155</v>
      </c>
      <c r="C17" s="22">
        <f>(C15+C16)*'Fane 13. Nøgletal'!C23</f>
        <v>240206.9841476471</v>
      </c>
      <c r="D17" s="14" t="s">
        <v>3</v>
      </c>
      <c r="E17" s="1"/>
    </row>
    <row r="18" spans="1:5" x14ac:dyDescent="0.25">
      <c r="A18" s="1"/>
      <c r="B18" s="52"/>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12550502.652635168</v>
      </c>
      <c r="D21" s="14" t="s">
        <v>3</v>
      </c>
      <c r="E21" s="1"/>
    </row>
    <row r="22" spans="1:5" x14ac:dyDescent="0.25">
      <c r="A22" s="1"/>
      <c r="B22" s="56" t="s">
        <v>171</v>
      </c>
      <c r="C22" s="48">
        <f>(C21)*'Fane 13. Nøgletal'!C23</f>
        <v>251010.05305270338</v>
      </c>
      <c r="D22" s="14" t="s">
        <v>3</v>
      </c>
      <c r="E22" s="1"/>
    </row>
    <row r="23" spans="1:5" x14ac:dyDescent="0.25">
      <c r="A23" s="1"/>
      <c r="B23" s="52"/>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13114948.958934784</v>
      </c>
      <c r="D26" s="14" t="s">
        <v>3</v>
      </c>
      <c r="E26" s="1"/>
    </row>
    <row r="27" spans="1:5" x14ac:dyDescent="0.25">
      <c r="A27" s="1"/>
      <c r="B27" s="56" t="s">
        <v>118</v>
      </c>
      <c r="C27" s="48">
        <f>(C26)*'Fane 13. Nøgletal'!C23</f>
        <v>262298.97917869571</v>
      </c>
      <c r="D27" s="14" t="s">
        <v>3</v>
      </c>
      <c r="E27" s="1"/>
    </row>
    <row r="28" spans="1:5" x14ac:dyDescent="0.25">
      <c r="A28" s="1"/>
      <c r="B28" s="52"/>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13704780.673413917</v>
      </c>
      <c r="D31" s="14" t="s">
        <v>3</v>
      </c>
      <c r="E31" s="1"/>
    </row>
    <row r="32" spans="1:5" x14ac:dyDescent="0.25">
      <c r="A32" s="1"/>
      <c r="B32" s="56" t="s">
        <v>138</v>
      </c>
      <c r="C32" s="48">
        <f>(C31)*'Fane 13. Nøgletal'!C23</f>
        <v>274095.61346827837</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oHfAn5wHS3v3XiVQLsmEZP4hMV5PAga5mQPF/L4/Mo4vHtRMu3yZtt0BIA8IG2KIWIpq3QkCiJfaE3A//3lJ2g==" saltValue="FAPsma4+LH3pusX+S6pOCw=="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17672411.557654817</v>
      </c>
      <c r="D9" s="14" t="s">
        <v>3</v>
      </c>
      <c r="E9" s="1"/>
    </row>
    <row r="10" spans="1:5" x14ac:dyDescent="0.25">
      <c r="A10" s="1"/>
      <c r="B10" s="56" t="s">
        <v>113</v>
      </c>
      <c r="C10" s="48">
        <f>('Fane 3. Omkostninger i ØR2024'!C11+'Fane 3. Omkostninger i ØR2024'!C13+'Fane 3. Omkostninger i ØR2024'!C15)*(1+'Fane 13. Nøgletal'!C10)</f>
        <v>664915.17568896001</v>
      </c>
      <c r="D10" s="14" t="s">
        <v>3</v>
      </c>
      <c r="E10" s="1"/>
    </row>
    <row r="11" spans="1:5" x14ac:dyDescent="0.25">
      <c r="A11" s="1"/>
      <c r="B11" s="56" t="s">
        <v>114</v>
      </c>
      <c r="C11" s="66">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19553091.495764468</v>
      </c>
      <c r="D15" s="14" t="s">
        <v>3</v>
      </c>
      <c r="E15" s="1"/>
    </row>
    <row r="16" spans="1:5" x14ac:dyDescent="0.25">
      <c r="A16" s="1"/>
      <c r="B16" s="56" t="s">
        <v>157</v>
      </c>
      <c r="C16" s="48">
        <f>('Fane 2.1. Økonomisk ramme 2025'!C11+'Fane 2.1. Økonomisk ramme 2025'!C13+'Fane 2.1. Økonomisk ramme 2025'!C15)*(1+'Fane 13. Nøgletal'!C11)</f>
        <v>322544.07433489</v>
      </c>
      <c r="D16" s="14" t="s">
        <v>3</v>
      </c>
      <c r="E16" s="1"/>
    </row>
    <row r="17" spans="1:5" x14ac:dyDescent="0.25">
      <c r="A17" s="1"/>
      <c r="B17" s="56" t="s">
        <v>158</v>
      </c>
      <c r="C17" s="66">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21193390.208396945</v>
      </c>
      <c r="D21" s="14" t="s">
        <v>3</v>
      </c>
      <c r="E21" s="1"/>
    </row>
    <row r="22" spans="1:5" x14ac:dyDescent="0.25">
      <c r="A22" s="1"/>
      <c r="B22" s="56" t="s">
        <v>165</v>
      </c>
      <c r="C22" s="66">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22598511.979213662</v>
      </c>
      <c r="D26" s="14" t="s">
        <v>3</v>
      </c>
      <c r="E26" s="1"/>
    </row>
    <row r="27" spans="1:5" x14ac:dyDescent="0.25">
      <c r="A27" s="1"/>
      <c r="B27" s="56" t="s">
        <v>121</v>
      </c>
      <c r="C27" s="66">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24096793.32343553</v>
      </c>
      <c r="D31" s="14" t="s">
        <v>3</v>
      </c>
      <c r="E31" s="1"/>
    </row>
    <row r="32" spans="1:5" x14ac:dyDescent="0.25">
      <c r="A32" s="1"/>
      <c r="B32" s="56" t="s">
        <v>141</v>
      </c>
      <c r="C32" s="66">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Vai/jygC/6lYbSMrY5bRE5dEXYcEIj0aQ2CFkjiSfP+WMYaLrArdWJASvLGfKGhylTEg8ou+PhvIXUVqUqKBbQ==" saltValue="xYYRwoDkt8WJ+7CGgh+G1Q=="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1.1380415732358613E-2</v>
      </c>
      <c r="D9" s="1"/>
    </row>
    <row r="10" spans="1:4" x14ac:dyDescent="0.25">
      <c r="A10" s="1"/>
      <c r="B10" s="52"/>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U0x4ApLoMxEwnA3nMSRvLuNPBTHsKwJICHgjEqpavQulvtCpXHkhj0a+yOoJg2TmBIsYnJZKzWaaDSOj/CIWWA==" saltValue="5QmzPxkTKx1o7cLSkBf+iA=="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1" t="s">
        <v>27</v>
      </c>
      <c r="C9" s="45" t="s">
        <v>145</v>
      </c>
      <c r="D9" s="11"/>
      <c r="E9" s="1"/>
    </row>
    <row r="10" spans="1:5" ht="15" customHeight="1" x14ac:dyDescent="0.25">
      <c r="A10" s="1"/>
      <c r="B10" s="64" t="s">
        <v>197</v>
      </c>
      <c r="C10" s="65">
        <v>10723496</v>
      </c>
      <c r="D10" s="14" t="s">
        <v>3</v>
      </c>
      <c r="E10" s="1"/>
    </row>
    <row r="11" spans="1:5" x14ac:dyDescent="0.25">
      <c r="A11" s="1"/>
      <c r="B11" s="64" t="s">
        <v>198</v>
      </c>
      <c r="C11" s="65">
        <v>69768</v>
      </c>
      <c r="D11" s="14" t="s">
        <v>3</v>
      </c>
      <c r="E11" s="1"/>
    </row>
    <row r="12" spans="1:5" x14ac:dyDescent="0.25">
      <c r="A12" s="1"/>
      <c r="B12" s="64" t="s">
        <v>199</v>
      </c>
      <c r="C12" s="65">
        <v>31414.54</v>
      </c>
      <c r="D12" s="14" t="s">
        <v>3</v>
      </c>
      <c r="E12" s="1"/>
    </row>
    <row r="13" spans="1:5" x14ac:dyDescent="0.25">
      <c r="A13" s="1"/>
      <c r="B13" s="64"/>
      <c r="C13" s="65"/>
      <c r="D13" s="14" t="s">
        <v>3</v>
      </c>
      <c r="E13" s="1"/>
    </row>
    <row r="14" spans="1:5" x14ac:dyDescent="0.25">
      <c r="A14" s="1"/>
      <c r="B14" s="64"/>
      <c r="C14" s="65"/>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10824678.539999999</v>
      </c>
      <c r="D19" s="13" t="s">
        <v>3</v>
      </c>
      <c r="E19" s="1"/>
    </row>
    <row r="20" spans="1:5" x14ac:dyDescent="0.25">
      <c r="A20" s="1"/>
      <c r="B20" s="52" t="s">
        <v>144</v>
      </c>
      <c r="C20" s="12">
        <f>C19*(1+'Fane 13. Nøgletal'!C11)^2</f>
        <v>12307612.845615491</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nfMJ7QbY4S5JhxHhpuA3579Fjv/9/EE4iuEdyObnSdepJDxamYFkc2O36xi79dh3PM+2L96JXHBQXhggcMXCDA==" saltValue="U18Aw6bpLDUd6POg5D0ZoQ=="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172</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1"/>
      <c r="D7" s="1"/>
      <c r="E7" s="1"/>
    </row>
    <row r="8" spans="1:5" x14ac:dyDescent="0.25">
      <c r="A8" s="1"/>
      <c r="B8" s="98" t="s">
        <v>175</v>
      </c>
      <c r="C8" s="99"/>
      <c r="D8" s="100"/>
      <c r="E8" s="1"/>
    </row>
    <row r="9" spans="1:5" x14ac:dyDescent="0.25">
      <c r="A9" s="1"/>
      <c r="B9" s="56" t="s">
        <v>176</v>
      </c>
      <c r="C9" s="9">
        <v>1670672.96211043</v>
      </c>
      <c r="D9" s="39" t="s">
        <v>3</v>
      </c>
      <c r="E9" s="1"/>
    </row>
    <row r="10" spans="1:5" x14ac:dyDescent="0.25">
      <c r="A10" s="1"/>
      <c r="B10" s="56" t="s">
        <v>174</v>
      </c>
      <c r="C10" s="9">
        <v>135206.61905255169</v>
      </c>
      <c r="D10" s="14" t="s">
        <v>3</v>
      </c>
      <c r="E10" s="1"/>
    </row>
    <row r="11" spans="1:5" x14ac:dyDescent="0.25">
      <c r="A11" s="1"/>
      <c r="B11" s="52"/>
      <c r="C11" s="53"/>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9" t="s">
        <v>177</v>
      </c>
      <c r="C14" s="70"/>
      <c r="D14" s="71"/>
      <c r="E14" s="1"/>
    </row>
    <row r="15" spans="1:5" x14ac:dyDescent="0.25">
      <c r="A15" s="1"/>
      <c r="B15" s="56" t="s">
        <v>178</v>
      </c>
      <c r="C15" s="9">
        <f>IF(C10&lt;0,C10,0)</f>
        <v>0</v>
      </c>
      <c r="D15" s="14" t="s">
        <v>3</v>
      </c>
      <c r="E15" s="1"/>
    </row>
    <row r="16" spans="1:5" x14ac:dyDescent="0.25">
      <c r="A16" s="1"/>
      <c r="B16" s="56" t="s">
        <v>185</v>
      </c>
      <c r="C16" s="9">
        <f>IF(SUM(C9)&gt;0,SUM(C9),0)</f>
        <v>1670672.96211043</v>
      </c>
      <c r="D16" s="14" t="s">
        <v>3</v>
      </c>
      <c r="E16" s="1"/>
    </row>
    <row r="17" spans="1:5" ht="26.25" x14ac:dyDescent="0.25">
      <c r="A17" s="1"/>
      <c r="B17" s="72" t="s">
        <v>179</v>
      </c>
      <c r="C17" s="62">
        <f>IF(SUM(C15:C16)&gt;0,0,SUM(C15:C16))</f>
        <v>0</v>
      </c>
      <c r="D17" s="17" t="s">
        <v>3</v>
      </c>
      <c r="E17" s="1"/>
    </row>
    <row r="18" spans="1:5" x14ac:dyDescent="0.25">
      <c r="A18" s="1"/>
      <c r="B18" s="52"/>
      <c r="C18" s="53"/>
      <c r="D18" s="19"/>
      <c r="E18" s="1"/>
    </row>
    <row r="19" spans="1:5" x14ac:dyDescent="0.25">
      <c r="A19" s="1"/>
      <c r="B19" s="1"/>
      <c r="C19" s="1"/>
      <c r="D19" s="1"/>
      <c r="E19" s="1"/>
    </row>
    <row r="20" spans="1:5" x14ac:dyDescent="0.25">
      <c r="A20" s="1"/>
      <c r="B20" s="69" t="s">
        <v>180</v>
      </c>
      <c r="C20" s="70"/>
      <c r="D20" s="71"/>
      <c r="E20" s="1"/>
    </row>
    <row r="21" spans="1:5" x14ac:dyDescent="0.25">
      <c r="A21" s="1"/>
      <c r="B21" s="56" t="s">
        <v>181</v>
      </c>
      <c r="C21" s="9">
        <v>35268697.007506058</v>
      </c>
      <c r="D21" s="14" t="s">
        <v>3</v>
      </c>
      <c r="E21" s="1"/>
    </row>
    <row r="22" spans="1:5" x14ac:dyDescent="0.25">
      <c r="A22" s="1"/>
      <c r="B22" s="56" t="s">
        <v>182</v>
      </c>
      <c r="C22" s="9">
        <v>35802826.979999997</v>
      </c>
      <c r="D22" s="14" t="s">
        <v>3</v>
      </c>
      <c r="E22" s="1"/>
    </row>
    <row r="23" spans="1:5" x14ac:dyDescent="0.25">
      <c r="A23" s="1"/>
      <c r="B23" s="56" t="s">
        <v>28</v>
      </c>
      <c r="C23" s="9">
        <v>0</v>
      </c>
      <c r="D23" s="14" t="s">
        <v>3</v>
      </c>
      <c r="E23" s="1"/>
    </row>
    <row r="24" spans="1:5" x14ac:dyDescent="0.25">
      <c r="A24" s="1"/>
      <c r="B24" s="74" t="s">
        <v>183</v>
      </c>
      <c r="C24" s="46">
        <f>C21-C22-C23</f>
        <v>-534129.9724939391</v>
      </c>
      <c r="D24" s="17" t="s">
        <v>3</v>
      </c>
      <c r="E24" s="1"/>
    </row>
    <row r="25" spans="1:5" x14ac:dyDescent="0.25">
      <c r="A25" s="1"/>
      <c r="B25" s="52"/>
      <c r="C25" s="53"/>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-398923.35344138741</v>
      </c>
      <c r="D28" s="14" t="s">
        <v>3</v>
      </c>
      <c r="E28" s="1"/>
    </row>
    <row r="29" spans="1:5" x14ac:dyDescent="0.25">
      <c r="A29" s="1"/>
      <c r="B29" s="57" t="s">
        <v>48</v>
      </c>
      <c r="C29" s="9">
        <v>2</v>
      </c>
      <c r="D29" s="14" t="s">
        <v>18</v>
      </c>
      <c r="E29" s="1"/>
    </row>
    <row r="30" spans="1:5" x14ac:dyDescent="0.25">
      <c r="A30" s="1"/>
      <c r="B30" s="58" t="s">
        <v>64</v>
      </c>
      <c r="C30" s="10">
        <f>C28/C29</f>
        <v>-199461.67672069371</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z7Dfc8iqFzHTfBQdkMbYtQ0C3poY77UT2QFtj3SIIdvMRRVjjaBd+J2MTz9pPHU9GuVVviIkrFxX5zr4MbbiEg==" saltValue="8j8VInD5yNngWWYzZZmyY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6" t="s">
        <v>96</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9"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9PXVi+mco+FKuAl2uwpyC+x2YhVamp31Rl9EXkwx6enhrenL7iNt/inPkDBtksonXlxN31aSR9ObraPix5H7dQ==" saltValue="1X/w8PleKgIYSRHoIbtNJQ=="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Bmmb+YGYiz7NXBC+PWbIoj6GvD3yisd2nN7y6a1wI/8mSE7yLHvJUtpaUWD9wVHr4D1mjAEyNGDpEBaVpQF4gQ==" saltValue="/UOP1Yi2xUJ0QWd+5jsaR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61"/>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200</v>
      </c>
      <c r="C11" s="21">
        <v>0</v>
      </c>
      <c r="D11" s="14" t="s">
        <v>3</v>
      </c>
      <c r="E11" s="9">
        <v>88139</v>
      </c>
      <c r="F11" s="14" t="s">
        <v>3</v>
      </c>
      <c r="G11" s="1"/>
    </row>
    <row r="12" spans="1:7" x14ac:dyDescent="0.25">
      <c r="A12" s="1"/>
      <c r="B12" s="26" t="s">
        <v>201</v>
      </c>
      <c r="C12" s="21">
        <v>0</v>
      </c>
      <c r="D12" s="14" t="s">
        <v>3</v>
      </c>
      <c r="E12" s="9">
        <v>20256</v>
      </c>
      <c r="F12" s="14" t="s">
        <v>3</v>
      </c>
      <c r="G12" s="1"/>
    </row>
    <row r="13" spans="1:7" x14ac:dyDescent="0.25">
      <c r="A13" s="1"/>
      <c r="B13" s="26" t="s">
        <v>202</v>
      </c>
      <c r="C13" s="21">
        <v>0</v>
      </c>
      <c r="D13" s="14" t="s">
        <v>3</v>
      </c>
      <c r="E13" s="9">
        <v>42040</v>
      </c>
      <c r="F13" s="14" t="s">
        <v>3</v>
      </c>
      <c r="G13" s="1"/>
    </row>
    <row r="14" spans="1:7" x14ac:dyDescent="0.25">
      <c r="A14" s="1"/>
      <c r="B14" s="26" t="s">
        <v>203</v>
      </c>
      <c r="C14" s="21">
        <v>0</v>
      </c>
      <c r="D14" s="14" t="s">
        <v>3</v>
      </c>
      <c r="E14" s="9">
        <v>36350</v>
      </c>
      <c r="F14" s="14" t="s">
        <v>3</v>
      </c>
      <c r="G14" s="1"/>
    </row>
    <row r="15" spans="1:7" x14ac:dyDescent="0.25">
      <c r="A15" s="1"/>
      <c r="B15" s="26" t="s">
        <v>204</v>
      </c>
      <c r="C15" s="21">
        <v>0</v>
      </c>
      <c r="D15" s="14" t="s">
        <v>3</v>
      </c>
      <c r="E15" s="9">
        <v>13039</v>
      </c>
      <c r="F15" s="14" t="s">
        <v>3</v>
      </c>
      <c r="G15" s="1"/>
    </row>
    <row r="16" spans="1:7" x14ac:dyDescent="0.25">
      <c r="A16" s="1"/>
      <c r="B16" s="26" t="s">
        <v>205</v>
      </c>
      <c r="C16" s="21">
        <v>0</v>
      </c>
      <c r="D16" s="14" t="s">
        <v>3</v>
      </c>
      <c r="E16" s="9">
        <v>21316</v>
      </c>
      <c r="F16" s="14" t="s">
        <v>3</v>
      </c>
      <c r="G16" s="1"/>
    </row>
    <row r="17" spans="1:7" x14ac:dyDescent="0.25">
      <c r="A17" s="1"/>
      <c r="B17" s="26" t="s">
        <v>206</v>
      </c>
      <c r="C17" s="21">
        <v>9402</v>
      </c>
      <c r="D17" s="14" t="s">
        <v>3</v>
      </c>
      <c r="E17" s="9">
        <v>2465</v>
      </c>
      <c r="F17" s="14" t="s">
        <v>3</v>
      </c>
      <c r="G17" s="1"/>
    </row>
    <row r="18" spans="1:7" x14ac:dyDescent="0.25">
      <c r="A18" s="1"/>
      <c r="B18" s="26" t="s">
        <v>207</v>
      </c>
      <c r="C18" s="21">
        <v>6268</v>
      </c>
      <c r="D18" s="14" t="s">
        <v>3</v>
      </c>
      <c r="E18" s="9">
        <v>60076</v>
      </c>
      <c r="F18" s="14" t="s">
        <v>3</v>
      </c>
      <c r="G18" s="1"/>
    </row>
    <row r="19" spans="1:7" x14ac:dyDescent="0.25">
      <c r="A19" s="1"/>
      <c r="B19" s="26"/>
      <c r="C19" s="21"/>
      <c r="D19" s="14" t="s">
        <v>3</v>
      </c>
      <c r="E19" s="9"/>
      <c r="F19" s="14" t="s">
        <v>3</v>
      </c>
      <c r="G19" s="1"/>
    </row>
    <row r="20" spans="1:7" x14ac:dyDescent="0.25">
      <c r="A20" s="1"/>
      <c r="B20" s="26"/>
      <c r="C20" s="21"/>
      <c r="D20" s="14" t="s">
        <v>3</v>
      </c>
      <c r="E20" s="9"/>
      <c r="F20" s="14" t="s">
        <v>3</v>
      </c>
      <c r="G20" s="1"/>
    </row>
    <row r="21" spans="1:7" x14ac:dyDescent="0.25">
      <c r="A21" s="1"/>
      <c r="B21" s="52" t="s">
        <v>112</v>
      </c>
      <c r="C21" s="12">
        <f>SUM(C10:C20)</f>
        <v>15670</v>
      </c>
      <c r="D21" s="13" t="s">
        <v>3</v>
      </c>
      <c r="E21" s="12">
        <f>SUM(E10:E20)</f>
        <v>283681</v>
      </c>
      <c r="F21" s="13" t="s">
        <v>3</v>
      </c>
      <c r="G21" s="1"/>
    </row>
    <row r="22" spans="1:7" x14ac:dyDescent="0.25">
      <c r="A22" s="1"/>
      <c r="B22" s="52" t="s">
        <v>147</v>
      </c>
      <c r="C22" s="12">
        <f>C21*(1+'Fane 13. Nøgletal'!C11)</f>
        <v>16708.921000000002</v>
      </c>
      <c r="D22" s="13" t="s">
        <v>3</v>
      </c>
      <c r="E22" s="12">
        <f>E21*(1+'Fane 13. Nøgletal'!C11)</f>
        <v>302489.0503</v>
      </c>
      <c r="F22" s="13" t="s">
        <v>3</v>
      </c>
      <c r="G22" s="1"/>
    </row>
    <row r="23" spans="1:7" x14ac:dyDescent="0.25">
      <c r="A23" s="1"/>
      <c r="B23" s="1"/>
      <c r="C23" s="1" t="s">
        <v>82</v>
      </c>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row r="58" spans="1:7" ht="14.45" hidden="1" x14ac:dyDescent="0.35">
      <c r="A58" s="40"/>
      <c r="B58" s="40"/>
      <c r="C58" s="40"/>
      <c r="D58" s="40"/>
      <c r="E58" s="40"/>
      <c r="F58" s="40"/>
      <c r="G58" s="40"/>
    </row>
    <row r="59" spans="1:7" ht="14.45" hidden="1" x14ac:dyDescent="0.35">
      <c r="A59" s="40"/>
      <c r="B59" s="40"/>
      <c r="C59" s="40"/>
      <c r="D59" s="40"/>
      <c r="E59" s="40"/>
      <c r="F59" s="40"/>
      <c r="G59" s="40"/>
    </row>
    <row r="60" spans="1:7" ht="14.45" hidden="1" x14ac:dyDescent="0.35">
      <c r="A60" s="40"/>
      <c r="B60" s="40"/>
      <c r="C60" s="40"/>
      <c r="D60" s="40"/>
      <c r="E60" s="40"/>
      <c r="F60" s="40"/>
      <c r="G60" s="40"/>
    </row>
    <row r="61" spans="1:7" hidden="1" x14ac:dyDescent="0.25">
      <c r="A61" s="40"/>
      <c r="B61" s="40"/>
      <c r="C61" s="40"/>
      <c r="D61" s="40"/>
      <c r="E61" s="40"/>
      <c r="F61" s="40"/>
      <c r="G61" s="40"/>
    </row>
  </sheetData>
  <sheetProtection algorithmName="SHA-512" hashValue="o1+97qs+GIGbf5CYxSsKRCelGleECQwpSL879y1MKFWrS7gXCfIRegshHSuMhxlsc1Eht1vI6a/sQ1Fjh8D2xw==" saltValue="doqFxrDJdGd6g5+HKofiC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2" t="s">
        <v>15</v>
      </c>
      <c r="C9" s="74" t="s">
        <v>10</v>
      </c>
      <c r="D9" s="75"/>
      <c r="E9" s="74" t="s">
        <v>26</v>
      </c>
      <c r="F9" s="27"/>
      <c r="G9" s="1"/>
    </row>
    <row r="10" spans="1:7" x14ac:dyDescent="0.25">
      <c r="A10" s="1"/>
      <c r="B10" s="23" t="s">
        <v>200</v>
      </c>
      <c r="C10" s="21">
        <v>0</v>
      </c>
      <c r="D10" s="14" t="s">
        <v>3</v>
      </c>
      <c r="E10" s="9">
        <v>450655</v>
      </c>
      <c r="F10" s="14" t="s">
        <v>3</v>
      </c>
      <c r="G10" s="1"/>
    </row>
    <row r="11" spans="1:7" x14ac:dyDescent="0.25">
      <c r="A11" s="1"/>
      <c r="B11" s="23" t="s">
        <v>201</v>
      </c>
      <c r="C11" s="21">
        <v>0</v>
      </c>
      <c r="D11" s="14" t="s">
        <v>3</v>
      </c>
      <c r="E11" s="9">
        <v>27618</v>
      </c>
      <c r="F11" s="14" t="s">
        <v>3</v>
      </c>
      <c r="G11" s="1"/>
    </row>
    <row r="12" spans="1:7" x14ac:dyDescent="0.25">
      <c r="A12" s="1"/>
      <c r="B12" s="23" t="s">
        <v>202</v>
      </c>
      <c r="C12" s="21">
        <v>0</v>
      </c>
      <c r="D12" s="14" t="s">
        <v>3</v>
      </c>
      <c r="E12" s="9">
        <v>71650</v>
      </c>
      <c r="F12" s="14" t="s">
        <v>3</v>
      </c>
      <c r="G12" s="1"/>
    </row>
    <row r="13" spans="1:7" x14ac:dyDescent="0.25">
      <c r="A13" s="1"/>
      <c r="B13" s="23" t="s">
        <v>203</v>
      </c>
      <c r="C13" s="21">
        <v>0</v>
      </c>
      <c r="D13" s="14" t="s">
        <v>3</v>
      </c>
      <c r="E13" s="9">
        <v>37192</v>
      </c>
      <c r="F13" s="14" t="s">
        <v>3</v>
      </c>
      <c r="G13" s="1"/>
    </row>
    <row r="14" spans="1:7" x14ac:dyDescent="0.25">
      <c r="A14" s="1"/>
      <c r="B14" s="23" t="s">
        <v>204</v>
      </c>
      <c r="C14" s="21">
        <v>0</v>
      </c>
      <c r="D14" s="14" t="s">
        <v>3</v>
      </c>
      <c r="E14" s="9">
        <v>18439</v>
      </c>
      <c r="F14" s="14" t="s">
        <v>3</v>
      </c>
      <c r="G14" s="1"/>
    </row>
    <row r="15" spans="1:7" x14ac:dyDescent="0.25">
      <c r="A15" s="1"/>
      <c r="B15" s="23" t="s">
        <v>205</v>
      </c>
      <c r="C15" s="21">
        <v>0</v>
      </c>
      <c r="D15" s="14" t="s">
        <v>3</v>
      </c>
      <c r="E15" s="9">
        <v>14532</v>
      </c>
      <c r="F15" s="14" t="s">
        <v>3</v>
      </c>
      <c r="G15" s="1"/>
    </row>
    <row r="16" spans="1:7" x14ac:dyDescent="0.25">
      <c r="A16" s="1"/>
      <c r="B16" s="23" t="s">
        <v>206</v>
      </c>
      <c r="C16" s="21">
        <v>0</v>
      </c>
      <c r="D16" s="14" t="s">
        <v>3</v>
      </c>
      <c r="E16" s="9">
        <v>12603</v>
      </c>
      <c r="F16" s="14" t="s">
        <v>3</v>
      </c>
      <c r="G16" s="1"/>
    </row>
    <row r="17" spans="1:7" x14ac:dyDescent="0.25">
      <c r="A17" s="1"/>
      <c r="B17" s="23" t="s">
        <v>207</v>
      </c>
      <c r="C17" s="21">
        <v>0</v>
      </c>
      <c r="D17" s="14" t="s">
        <v>3</v>
      </c>
      <c r="E17" s="9">
        <v>189156</v>
      </c>
      <c r="F17" s="14" t="s">
        <v>3</v>
      </c>
      <c r="G17" s="1"/>
    </row>
    <row r="18" spans="1:7" x14ac:dyDescent="0.25">
      <c r="A18" s="1"/>
      <c r="B18" s="23"/>
      <c r="C18" s="21"/>
      <c r="D18" s="14" t="s">
        <v>3</v>
      </c>
      <c r="E18" s="9"/>
      <c r="F18" s="14" t="s">
        <v>3</v>
      </c>
      <c r="G18" s="1"/>
    </row>
    <row r="19" spans="1:7" x14ac:dyDescent="0.25">
      <c r="A19" s="1"/>
      <c r="B19" s="23"/>
      <c r="C19" s="21"/>
      <c r="D19" s="14" t="s">
        <v>3</v>
      </c>
      <c r="E19" s="9"/>
      <c r="F19" s="14" t="s">
        <v>3</v>
      </c>
      <c r="G19" s="1"/>
    </row>
    <row r="20" spans="1:7" x14ac:dyDescent="0.25">
      <c r="A20" s="1"/>
      <c r="B20" s="52" t="s">
        <v>148</v>
      </c>
      <c r="C20" s="12">
        <f>SUM(C10:C19)</f>
        <v>0</v>
      </c>
      <c r="D20" s="13" t="s">
        <v>3</v>
      </c>
      <c r="E20" s="12">
        <f>SUM(E10:E19)</f>
        <v>821845</v>
      </c>
      <c r="F20" s="13" t="s">
        <v>3</v>
      </c>
      <c r="G20" s="1"/>
    </row>
    <row r="21" spans="1:7" x14ac:dyDescent="0.25">
      <c r="A21" s="1"/>
      <c r="B21" s="52" t="s">
        <v>149</v>
      </c>
      <c r="C21" s="12">
        <f>C20*(1+'Fane 13. Nøgletal'!$C$11)^2</f>
        <v>0</v>
      </c>
      <c r="D21" s="13" t="s">
        <v>3</v>
      </c>
      <c r="E21" s="12">
        <f>E20*(1+'Fane 13. Nøgletal'!$C$11)^2</f>
        <v>934434.22284804995</v>
      </c>
      <c r="F21" s="13" t="s">
        <v>3</v>
      </c>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ht="18" customHeight="1"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sheetData>
  <sheetProtection algorithmName="SHA-512" hashValue="9o4Cxdu/y+FLjKsLRopLTLb9HIf55bk8zm/Mc/XWLyl/ss6FV4g6rvyvVwz5TofVfcVh7KKyJYYYVrykZlxPZg==" saltValue="uBOWRLTiCFNtV0hZgXoa+w=="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93</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4"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ZAZGOIgP8CwWpaeavxu8SMLPL5fKYWHnz5CkldDO65Xu3vmxdeCVT1/7Dy8XGj1A5Gf6UoWg0GRJQkSH8uWI1A==" saltValue="qQc2iNXGFxzkKSAWB2pYPw=="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94</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u18D/I3Nt2Lmekzuk6esus2vkGVBFZiEndwcA/Oud1UeeAXfI4RCERBxvfFjcHFenpCWNqjEoO2lXGM4tjlVmQ==" saltValue="FTuCIgS4DUI9xfjd8HuXug=="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6" t="s">
        <v>95</v>
      </c>
      <c r="C3" s="96"/>
      <c r="D3" s="1"/>
    </row>
    <row r="4" spans="1:4" ht="15" customHeight="1" x14ac:dyDescent="0.25">
      <c r="A4" s="1"/>
      <c r="B4" s="96"/>
      <c r="C4" s="96"/>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194</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195</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pc4YbkxfIZfOUAA+jk6L9Eqtc3nmWYhFtfkvVjcJzvXnDzsujSjiUMWZNXfM+/mTnGmZFKT1KJFPMLCAz84t8Q==" saltValue="RuTr31d5EsRxN3YUbKOUNw=="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2024-10-10T08:23:08Z</dcterms:modified>
</cp:coreProperties>
</file>