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Odder Vandværk a.m.b.a. (V144)\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17" i="32" l="1"/>
  <c r="E16" i="32"/>
  <c r="E32" i="27" l="1"/>
  <c r="C19" i="23"/>
  <c r="C19" i="22"/>
  <c r="C19" i="15"/>
  <c r="C31" i="2"/>
  <c r="G18" i="40" l="1"/>
  <c r="E25" i="32" l="1"/>
  <c r="E29" i="32" s="1"/>
  <c r="E31" i="32" s="1"/>
  <c r="C17" i="15" l="1"/>
  <c r="C29" i="2"/>
  <c r="F10" i="11"/>
  <c r="E12" i="39" l="1"/>
  <c r="C12" i="39"/>
  <c r="E11" i="29"/>
  <c r="E12" i="29" s="1"/>
  <c r="C14" i="2" s="1"/>
  <c r="C11" i="29"/>
  <c r="J11" i="11"/>
  <c r="H11" i="11"/>
  <c r="C13" i="19"/>
  <c r="C14" i="19" l="1"/>
  <c r="F11" i="11" l="1"/>
  <c r="E10" i="37" s="1"/>
  <c r="C10" i="37"/>
  <c r="C12" i="37" s="1"/>
  <c r="C13" i="37" s="1"/>
  <c r="C15" i="23" l="1"/>
  <c r="C15" i="22" l="1"/>
  <c r="C15" i="15"/>
  <c r="C12" i="29"/>
  <c r="G36" i="36" l="1"/>
  <c r="G36" i="30"/>
  <c r="G6" i="30" l="1"/>
  <c r="E13" i="39" l="1"/>
  <c r="C13" i="39"/>
  <c r="C23" i="2" s="1"/>
  <c r="C25" i="2" s="1"/>
  <c r="G10" i="30" l="1"/>
  <c r="G12" i="30" s="1"/>
  <c r="E12" i="37" l="1"/>
  <c r="E13" i="37" s="1"/>
  <c r="E13" i="21" l="1"/>
  <c r="E14" i="21" s="1"/>
  <c r="C13" i="21"/>
  <c r="C14" i="21" s="1"/>
  <c r="C11" i="2" l="1"/>
  <c r="C12" i="2"/>
  <c r="C24" i="2" l="1"/>
  <c r="C26" i="2" l="1"/>
  <c r="C27" i="2" s="1"/>
  <c r="G6" i="36"/>
  <c r="G10" i="36" s="1"/>
  <c r="G12" i="36" l="1"/>
  <c r="G16" i="36" s="1"/>
  <c r="G16" i="30"/>
  <c r="G19" i="30" s="1"/>
  <c r="G19" i="36" l="1"/>
  <c r="G23" i="30"/>
  <c r="G25" i="30" s="1"/>
  <c r="G23" i="36" l="1"/>
  <c r="G25" i="36" s="1"/>
  <c r="G29" i="36" s="1"/>
  <c r="G29" i="30"/>
  <c r="G31" i="30" s="1"/>
  <c r="G31" i="36" l="1"/>
  <c r="G35" i="36" s="1"/>
  <c r="G35" i="30" l="1"/>
  <c r="G37" i="30" l="1"/>
  <c r="C9" i="2"/>
  <c r="C13" i="2"/>
  <c r="G42" i="30" l="1"/>
  <c r="G41" i="30"/>
  <c r="C21" i="2"/>
  <c r="G43" i="30" l="1"/>
  <c r="C17" i="2" l="1"/>
  <c r="G47" i="30"/>
  <c r="G48" i="30" s="1"/>
  <c r="C10" i="2"/>
  <c r="G42" i="36" s="1"/>
  <c r="G37" i="36"/>
  <c r="G41" i="36" s="1"/>
  <c r="G52" i="30" l="1"/>
  <c r="C11" i="15" l="1"/>
  <c r="G53" i="30"/>
  <c r="G57" i="30" s="1"/>
  <c r="G58" i="30" s="1"/>
  <c r="E20" i="27"/>
  <c r="G43" i="36"/>
  <c r="C18" i="2" s="1"/>
  <c r="C8" i="2" l="1"/>
  <c r="C15" i="2" s="1"/>
  <c r="C16" i="2" s="1"/>
  <c r="C19" i="2" s="1"/>
  <c r="C8" i="15" s="1"/>
  <c r="E33" i="27"/>
  <c r="C11" i="22"/>
  <c r="G47" i="36"/>
  <c r="G48" i="36" l="1"/>
  <c r="G52" i="36" s="1"/>
  <c r="G53" i="36" s="1"/>
  <c r="C9" i="15"/>
  <c r="C10" i="15" s="1"/>
  <c r="C32" i="2"/>
  <c r="C11" i="23"/>
  <c r="C12" i="15" l="1"/>
  <c r="C13" i="15" s="1"/>
  <c r="C20" i="15" s="1"/>
  <c r="G57" i="36"/>
  <c r="G58" i="36" s="1"/>
  <c r="C12" i="22" l="1"/>
  <c r="C8" i="22"/>
  <c r="C9" i="22" s="1"/>
  <c r="C10" i="22" s="1"/>
  <c r="C13" i="22" s="1"/>
  <c r="C20" i="22" s="1"/>
  <c r="C12" i="23"/>
  <c r="C8" i="23" l="1"/>
  <c r="C9" i="23" l="1"/>
  <c r="C10" i="23" s="1"/>
  <c r="C13" i="23" s="1"/>
  <c r="C20" i="23" s="1"/>
</calcChain>
</file>

<file path=xl/sharedStrings.xml><?xml version="1.0" encoding="utf-8"?>
<sst xmlns="http://schemas.openxmlformats.org/spreadsheetml/2006/main" count="507" uniqueCount="253">
  <si>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</si>
  <si>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</si>
  <si>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</si>
  <si>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</si>
  <si>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</si>
  <si>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</si>
  <si>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</si>
  <si>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</si>
  <si>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</si>
  <si>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</si>
  <si>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</si>
  <si>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</si>
  <si>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</si>
  <si>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</si>
  <si>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</si>
  <si>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</si>
  <si>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</si>
  <si>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</si>
  <si>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</si>
  <si>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</si>
  <si>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</si>
  <si>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</si>
  <si>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</si>
  <si>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</si>
  <si>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</si>
  <si>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</si>
  <si>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</si>
  <si>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</si>
  <si>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</si>
  <si>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</si>
  <si>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</si>
  <si>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</si>
  <si>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</si>
  <si>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</si>
  <si>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</si>
  <si>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</si>
  <si>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</si>
  <si>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</si>
  <si>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</si>
  <si>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</si>
  <si>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</si>
  <si>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</si>
  <si>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</si>
  <si>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</si>
  <si>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</si>
  <si>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</si>
  <si>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</si>
  <si>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</si>
  <si>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</si>
  <si>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</si>
  <si>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</si>
  <si>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</si>
  <si>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</si>
  <si>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</si>
  <si>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</si>
  <si>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</si>
  <si>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</si>
  <si>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</si>
  <si>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</si>
  <si>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</si>
  <si>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</si>
  <si>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</si>
  <si>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</si>
  <si>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</si>
  <si>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</si>
  <si>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</si>
  <si>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</si>
  <si>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</si>
  <si>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</si>
  <si>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</si>
  <si>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</si>
  <si>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</si>
  <si>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</si>
  <si>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</si>
  <si>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</si>
  <si>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</si>
  <si>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</si>
  <si>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</si>
  <si>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</si>
  <si>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</si>
  <si>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</si>
  <si>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</si>
  <si>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</si>
  <si>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</si>
  <si>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</si>
  <si>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</si>
  <si>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</si>
  <si>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</si>
  <si>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</si>
  <si>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</si>
  <si>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</si>
  <si>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</si>
  <si>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</si>
  <si>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</si>
  <si>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</si>
  <si>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</si>
  <si>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</si>
  <si>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</si>
  <si>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</si>
  <si>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</si>
  <si>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</si>
  <si>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</si>
  <si>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</si>
  <si>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</si>
  <si>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</si>
  <si>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</si>
  <si>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</si>
  <si>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</si>
  <si>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</si>
  <si>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</si>
  <si>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</si>
  <si>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</si>
  <si>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</si>
  <si>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</si>
  <si>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</si>
  <si>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</si>
  <si>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</si>
  <si>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</si>
  <si>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</si>
  <si>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</si>
  <si>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</si>
  <si>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</si>
  <si>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</si>
  <si>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</si>
  <si>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</si>
  <si>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</si>
  <si>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</si>
  <si>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</si>
  <si>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</si>
  <si>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</si>
  <si>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</si>
  <si>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</si>
  <si>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</si>
  <si>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</si>
  <si>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</si>
  <si>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</si>
  <si>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</si>
  <si>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</si>
  <si>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</si>
  <si>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</si>
  <si>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</si>
  <si>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</si>
  <si>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</si>
  <si>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</si>
  <si>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</si>
  <si>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</si>
  <si>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</si>
  <si>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</si>
  <si>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</si>
  <si>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</si>
  <si>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</si>
  <si>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</si>
  <si>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</si>
  <si>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</si>
  <si>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</si>
  <si>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</si>
  <si>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</si>
  <si>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</si>
  <si>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</si>
  <si>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</si>
  <si>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</si>
  <si>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</si>
  <si>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</si>
  <si>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</si>
  <si>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</si>
  <si>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</si>
  <si>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</si>
  <si>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</si>
  <si>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</si>
  <si>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</si>
  <si>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</si>
  <si>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</si>
  <si>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</si>
  <si>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</si>
  <si>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</si>
  <si>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</si>
  <si>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</si>
  <si>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</si>
  <si>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</si>
  <si>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</si>
  <si>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</si>
  <si>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</si>
  <si>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</si>
  <si>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</si>
  <si>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</si>
  <si>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</si>
  <si>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</si>
  <si>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</si>
  <si>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</si>
  <si>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</si>
  <si>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</si>
  <si>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</si>
  <si>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</si>
  <si>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</si>
  <si>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</si>
  <si>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</si>
  <si>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</si>
  <si>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</si>
  <si>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</si>
  <si>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</si>
  <si>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</si>
  <si>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</si>
  <si>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</si>
  <si>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</si>
  <si>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</si>
  <si>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</si>
  <si>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</si>
  <si>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</si>
  <si>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</si>
  <si>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</si>
  <si>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</si>
  <si>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</si>
  <si>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</si>
  <si>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</si>
  <si>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</si>
  <si>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</si>
  <si>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</si>
  <si>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</si>
  <si>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</si>
  <si>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</si>
  <si>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</si>
  <si>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</si>
  <si>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</si>
  <si>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</si>
  <si>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</si>
  <si>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</si>
  <si>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</si>
  <si>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</si>
  <si>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</si>
  <si>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</si>
  <si>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</si>
  <si>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</si>
  <si>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</si>
  <si>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</si>
  <si>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Korrigeret over/underdækning i 2019</t>
  </si>
  <si>
    <t>Indregnet fradrag i den økonomiske ramme for 2023</t>
  </si>
  <si>
    <t>Indregnet fradrag i den økonomiske ramme for 2024</t>
  </si>
  <si>
    <t>Den økonomiske ramme for 2021</t>
  </si>
  <si>
    <t>Til indregning i de økonomiske rammer for 2023-2024</t>
  </si>
  <si>
    <t>Ingen tilknyttet virksomhed under hovedvirksomheden</t>
  </si>
  <si>
    <t>Ingen bortfald eller nedsættelse</t>
  </si>
  <si>
    <t>Udvidelser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</si>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</sst>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3" fontId="7" fillId="3" borderId="6" xfId="0" applyNumberFormat="1"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row r="1">
          <cell r="A1" t="str">
            <v>ØR 2023-2026 samt statusmeddelelser</v>
          </cell>
        </row>
      </sheetData>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9"/>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3" t="s">
        <v>4</v>
      </c>
      <c r="E6" s="83"/>
      <c r="F6" s="83"/>
      <c r="G6" s="83"/>
      <c r="H6" s="3"/>
      <c r="I6" s="1"/>
    </row>
    <row r="7" spans="1:9" ht="15" customHeight="1" x14ac:dyDescent="0.25">
      <c r="A7" s="1"/>
      <c r="B7" s="1"/>
      <c r="C7" s="3"/>
      <c r="D7" s="83"/>
      <c r="E7" s="83"/>
      <c r="F7" s="83"/>
      <c r="G7" s="83"/>
      <c r="H7" s="3"/>
      <c r="I7" s="1"/>
    </row>
    <row r="8" spans="1:9" ht="15.75" x14ac:dyDescent="0.25">
      <c r="A8" s="1"/>
      <c r="B8" s="1"/>
      <c r="C8" s="4"/>
      <c r="D8" s="88" t="s">
        <v>194</v>
      </c>
      <c r="E8" s="88"/>
      <c r="F8" s="88"/>
      <c r="G8" s="8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7" t="s">
        <v>5</v>
      </c>
      <c r="E11" s="87"/>
      <c r="F11" s="87"/>
      <c r="G11" s="87"/>
      <c r="H11" s="5"/>
      <c r="I11" s="1"/>
    </row>
    <row r="12" spans="1:9" x14ac:dyDescent="0.25">
      <c r="A12" s="1"/>
      <c r="B12" s="1"/>
      <c r="C12" s="1"/>
      <c r="D12" s="1"/>
      <c r="E12" s="1"/>
      <c r="F12" s="1"/>
      <c r="G12" s="1"/>
      <c r="H12" s="1"/>
      <c r="I12" s="1"/>
    </row>
    <row r="13" spans="1:9" x14ac:dyDescent="0.25">
      <c r="A13" s="1"/>
      <c r="B13" s="1"/>
      <c r="C13" s="6" t="s">
        <v>6</v>
      </c>
      <c r="D13" s="80" t="s">
        <v>161</v>
      </c>
      <c r="E13" s="81"/>
      <c r="F13" s="81"/>
      <c r="G13" s="82"/>
      <c r="H13" s="1"/>
      <c r="I13" s="1"/>
    </row>
    <row r="14" spans="1:9" x14ac:dyDescent="0.25">
      <c r="A14" s="1"/>
      <c r="B14" s="1"/>
      <c r="C14" s="6" t="s">
        <v>14</v>
      </c>
      <c r="D14" s="80" t="s">
        <v>204</v>
      </c>
      <c r="E14" s="81"/>
      <c r="F14" s="81"/>
      <c r="G14" s="82"/>
      <c r="H14" s="1"/>
      <c r="I14" s="1"/>
    </row>
    <row r="15" spans="1:9" x14ac:dyDescent="0.25">
      <c r="A15" s="1"/>
      <c r="B15" s="1"/>
      <c r="C15" s="6" t="s">
        <v>32</v>
      </c>
      <c r="D15" s="80" t="s">
        <v>137</v>
      </c>
      <c r="E15" s="81"/>
      <c r="F15" s="81"/>
      <c r="G15" s="82"/>
      <c r="H15" s="1"/>
      <c r="I15" s="1"/>
    </row>
    <row r="16" spans="1:9" x14ac:dyDescent="0.25">
      <c r="A16" s="1"/>
      <c r="B16" s="1"/>
      <c r="C16" s="6" t="s">
        <v>33</v>
      </c>
      <c r="D16" s="80" t="s">
        <v>162</v>
      </c>
      <c r="E16" s="81"/>
      <c r="F16" s="81"/>
      <c r="G16" s="82"/>
      <c r="H16" s="1"/>
      <c r="I16" s="1"/>
    </row>
    <row r="17" spans="1:9" x14ac:dyDescent="0.25">
      <c r="A17" s="1"/>
      <c r="B17" s="1"/>
      <c r="C17" s="6" t="s">
        <v>110</v>
      </c>
      <c r="D17" s="80" t="s">
        <v>163</v>
      </c>
      <c r="E17" s="81"/>
      <c r="F17" s="81"/>
      <c r="G17" s="82"/>
      <c r="H17" s="1"/>
      <c r="I17" s="1"/>
    </row>
    <row r="18" spans="1:9" x14ac:dyDescent="0.25">
      <c r="A18" s="1"/>
      <c r="B18" s="1"/>
      <c r="C18" s="6" t="s">
        <v>94</v>
      </c>
      <c r="D18" s="89" t="s">
        <v>86</v>
      </c>
      <c r="E18" s="90"/>
      <c r="F18" s="90"/>
      <c r="G18" s="91"/>
      <c r="H18" s="1"/>
      <c r="I18" s="1"/>
    </row>
    <row r="19" spans="1:9" x14ac:dyDescent="0.25">
      <c r="A19" s="1"/>
      <c r="B19" s="1"/>
      <c r="C19" s="6" t="s">
        <v>95</v>
      </c>
      <c r="D19" s="89" t="s">
        <v>87</v>
      </c>
      <c r="E19" s="90"/>
      <c r="F19" s="90"/>
      <c r="G19" s="91"/>
      <c r="H19" s="1"/>
      <c r="I19" s="1"/>
    </row>
    <row r="20" spans="1:9" x14ac:dyDescent="0.25">
      <c r="A20" s="1"/>
      <c r="B20" s="1"/>
      <c r="C20" s="6" t="s">
        <v>7</v>
      </c>
      <c r="D20" s="89" t="s">
        <v>9</v>
      </c>
      <c r="E20" s="90"/>
      <c r="F20" s="90"/>
      <c r="G20" s="91"/>
      <c r="H20" s="1"/>
      <c r="I20" s="1"/>
    </row>
    <row r="21" spans="1:9" x14ac:dyDescent="0.25">
      <c r="A21" s="1"/>
      <c r="B21" s="1"/>
      <c r="C21" s="6" t="s">
        <v>96</v>
      </c>
      <c r="D21" s="95" t="s">
        <v>11</v>
      </c>
      <c r="E21" s="96"/>
      <c r="F21" s="96"/>
      <c r="G21" s="97"/>
      <c r="H21" s="1"/>
      <c r="I21" s="1"/>
    </row>
    <row r="22" spans="1:9" x14ac:dyDescent="0.25">
      <c r="A22" s="1"/>
      <c r="B22" s="1"/>
      <c r="C22" s="6" t="s">
        <v>78</v>
      </c>
      <c r="D22" s="84" t="s">
        <v>164</v>
      </c>
      <c r="E22" s="85"/>
      <c r="F22" s="85"/>
      <c r="G22" s="86"/>
      <c r="H22" s="1"/>
      <c r="I22" s="1"/>
    </row>
    <row r="23" spans="1:9" x14ac:dyDescent="0.25">
      <c r="A23" s="1"/>
      <c r="B23" s="1"/>
      <c r="C23" s="6" t="s">
        <v>8</v>
      </c>
      <c r="D23" s="84" t="s">
        <v>219</v>
      </c>
      <c r="E23" s="85"/>
      <c r="F23" s="85"/>
      <c r="G23" s="86"/>
      <c r="H23" s="1"/>
      <c r="I23" s="1"/>
    </row>
    <row r="24" spans="1:9" x14ac:dyDescent="0.25">
      <c r="A24" s="1"/>
      <c r="B24" s="1"/>
      <c r="C24" s="6" t="s">
        <v>215</v>
      </c>
      <c r="D24" s="84" t="s">
        <v>205</v>
      </c>
      <c r="E24" s="85"/>
      <c r="F24" s="85"/>
      <c r="G24" s="86"/>
      <c r="H24" s="1"/>
      <c r="I24" s="1"/>
    </row>
    <row r="25" spans="1:9" x14ac:dyDescent="0.25">
      <c r="A25" s="1"/>
      <c r="B25" s="1"/>
      <c r="C25" s="6" t="s">
        <v>216</v>
      </c>
      <c r="D25" s="84" t="s">
        <v>79</v>
      </c>
      <c r="E25" s="85"/>
      <c r="F25" s="85"/>
      <c r="G25" s="86"/>
      <c r="H25" s="1"/>
      <c r="I25" s="1"/>
    </row>
    <row r="26" spans="1:9" x14ac:dyDescent="0.25">
      <c r="A26" s="1"/>
      <c r="B26" s="1"/>
      <c r="C26" s="6" t="s">
        <v>217</v>
      </c>
      <c r="D26" s="84" t="s">
        <v>80</v>
      </c>
      <c r="E26" s="85"/>
      <c r="F26" s="85"/>
      <c r="G26" s="86"/>
      <c r="H26" s="1"/>
      <c r="I26" s="1"/>
    </row>
    <row r="27" spans="1:9" x14ac:dyDescent="0.25">
      <c r="A27" s="1"/>
      <c r="B27" s="1"/>
      <c r="C27" s="6" t="s">
        <v>97</v>
      </c>
      <c r="D27" s="84" t="s">
        <v>111</v>
      </c>
      <c r="E27" s="85"/>
      <c r="F27" s="85"/>
      <c r="G27" s="86"/>
      <c r="H27" s="1"/>
      <c r="I27" s="1"/>
    </row>
    <row r="28" spans="1:9" x14ac:dyDescent="0.25">
      <c r="A28" s="1"/>
      <c r="B28" s="1"/>
      <c r="C28" s="6" t="s">
        <v>91</v>
      </c>
      <c r="D28" s="84" t="s">
        <v>34</v>
      </c>
      <c r="E28" s="85"/>
      <c r="F28" s="85"/>
      <c r="G28" s="86"/>
      <c r="H28" s="1"/>
      <c r="I28" s="1"/>
    </row>
    <row r="29" spans="1:9" x14ac:dyDescent="0.25">
      <c r="A29" s="1"/>
      <c r="B29" s="1"/>
      <c r="C29" s="6" t="s">
        <v>218</v>
      </c>
      <c r="D29" s="92" t="s">
        <v>92</v>
      </c>
      <c r="E29" s="93"/>
      <c r="F29" s="93"/>
      <c r="G29" s="94"/>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sheetData>
  <sheetProtection algorithmName="SHA-512" hashValue="650N6EZNPsK6iQ/kCEoH8XrjrdKmDvXARpXdJUxgwl3iGvDuT+OfhPY7NEQetbGvkQr61mPgEKSvfNtM1nbnGA==" saltValue="Z5EW0WhjRmHv0YOm03xW8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8" t="s">
        <v>100</v>
      </c>
      <c r="C3" s="98"/>
      <c r="D3" s="98"/>
      <c r="E3" s="1"/>
      <c r="F3" s="1"/>
    </row>
    <row r="4" spans="1:6" ht="15" customHeight="1" x14ac:dyDescent="0.25">
      <c r="A4" s="1"/>
      <c r="B4" s="98"/>
      <c r="C4" s="98"/>
      <c r="D4" s="98"/>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7" t="s">
        <v>181</v>
      </c>
      <c r="C8" s="118"/>
      <c r="D8" s="119"/>
      <c r="E8" s="1"/>
      <c r="F8" s="1"/>
    </row>
    <row r="9" spans="1:6" ht="15" customHeight="1" x14ac:dyDescent="0.25">
      <c r="A9" s="1"/>
      <c r="B9" s="32" t="s">
        <v>30</v>
      </c>
      <c r="C9" s="11" t="s">
        <v>212</v>
      </c>
      <c r="D9" s="11"/>
      <c r="E9" s="1"/>
      <c r="F9" s="1"/>
    </row>
    <row r="10" spans="1:6" x14ac:dyDescent="0.25">
      <c r="A10" s="1"/>
      <c r="B10" s="75" t="s">
        <v>231</v>
      </c>
      <c r="C10" s="9">
        <v>5222017</v>
      </c>
      <c r="D10" s="14" t="s">
        <v>3</v>
      </c>
      <c r="E10" s="1"/>
      <c r="F10" s="1"/>
    </row>
    <row r="11" spans="1:6" x14ac:dyDescent="0.25">
      <c r="A11" s="1"/>
      <c r="B11" s="75" t="s">
        <v>232</v>
      </c>
      <c r="C11" s="9">
        <v>74234</v>
      </c>
      <c r="D11" s="14" t="s">
        <v>3</v>
      </c>
      <c r="E11" s="1"/>
      <c r="F11" s="1"/>
    </row>
    <row r="12" spans="1:6" x14ac:dyDescent="0.25">
      <c r="A12" s="1"/>
      <c r="B12" s="75" t="s">
        <v>233</v>
      </c>
      <c r="C12" s="9">
        <v>4393</v>
      </c>
      <c r="D12" s="14" t="s">
        <v>3</v>
      </c>
      <c r="E12" s="1"/>
      <c r="F12" s="1"/>
    </row>
    <row r="13" spans="1:6" x14ac:dyDescent="0.25">
      <c r="A13" s="1"/>
      <c r="B13" s="63" t="s">
        <v>182</v>
      </c>
      <c r="C13" s="12">
        <f>SUM(C10:C12)</f>
        <v>5300644</v>
      </c>
      <c r="D13" s="13" t="s">
        <v>3</v>
      </c>
      <c r="E13" s="1"/>
      <c r="F13" s="1"/>
    </row>
    <row r="14" spans="1:6" x14ac:dyDescent="0.25">
      <c r="A14" s="1"/>
      <c r="B14" s="63" t="s">
        <v>183</v>
      </c>
      <c r="C14" s="12">
        <f>C13*(1+'Fane 13. Nøgletal'!C15)^2</f>
        <v>5684767.6769798407</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3o+uWKZdwissz6HDwfIkIZsBuMTJD2LmhFf5rCchX7fQ1LoFI1nMO+NH0ZZRV16nInBrlx715IT38INI96n1Iw==" saltValue="OzpwXzZRw+y8sYQBC6DnN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7109375" style="2" customWidth="1"/>
    <col min="5" max="5" width="10.7109375" style="2"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0" t="s">
        <v>184</v>
      </c>
      <c r="C3" s="120"/>
      <c r="D3" s="120"/>
      <c r="E3" s="120"/>
      <c r="F3" s="120"/>
      <c r="G3" s="1"/>
    </row>
    <row r="4" spans="1:7" ht="15" customHeight="1" x14ac:dyDescent="0.25">
      <c r="A4" s="1"/>
      <c r="B4" s="120"/>
      <c r="C4" s="120"/>
      <c r="D4" s="120"/>
      <c r="E4" s="120"/>
      <c r="F4" s="120"/>
      <c r="G4" s="1"/>
    </row>
    <row r="5" spans="1:7" ht="15" customHeight="1" x14ac:dyDescent="0.25">
      <c r="A5" s="1"/>
      <c r="B5" s="70"/>
      <c r="C5" s="70"/>
      <c r="D5" s="70"/>
      <c r="E5" s="70"/>
      <c r="F5" s="70"/>
      <c r="G5" s="1"/>
    </row>
    <row r="6" spans="1:7" ht="15" customHeight="1" x14ac:dyDescent="0.25">
      <c r="A6" s="1"/>
      <c r="B6" s="70"/>
      <c r="C6" s="70"/>
      <c r="D6" s="70"/>
      <c r="E6" s="70"/>
      <c r="F6" s="70"/>
      <c r="G6" s="1"/>
    </row>
    <row r="7" spans="1:7" x14ac:dyDescent="0.25">
      <c r="A7" s="1"/>
      <c r="B7" s="1"/>
      <c r="C7" s="1"/>
      <c r="D7" s="1"/>
      <c r="E7" s="1"/>
      <c r="F7" s="1"/>
      <c r="G7" s="1"/>
    </row>
    <row r="8" spans="1:7" x14ac:dyDescent="0.25">
      <c r="A8" s="1"/>
      <c r="B8" s="117" t="s">
        <v>155</v>
      </c>
      <c r="C8" s="118"/>
      <c r="D8" s="118"/>
      <c r="E8" s="118"/>
      <c r="F8" s="119"/>
      <c r="G8" s="1"/>
    </row>
    <row r="9" spans="1:7" x14ac:dyDescent="0.25">
      <c r="A9" s="1"/>
      <c r="B9" s="124" t="s">
        <v>156</v>
      </c>
      <c r="C9" s="125"/>
      <c r="D9" s="126"/>
      <c r="E9" s="9">
        <v>-308444</v>
      </c>
      <c r="F9" s="14" t="s">
        <v>3</v>
      </c>
      <c r="G9" s="1"/>
    </row>
    <row r="10" spans="1:7" x14ac:dyDescent="0.25">
      <c r="A10" s="1"/>
      <c r="B10" s="139" t="s">
        <v>234</v>
      </c>
      <c r="C10" s="140"/>
      <c r="D10" s="141"/>
      <c r="E10" s="9">
        <v>-308444</v>
      </c>
      <c r="F10" s="50" t="s">
        <v>3</v>
      </c>
      <c r="G10" s="1"/>
    </row>
    <row r="11" spans="1:7" x14ac:dyDescent="0.25">
      <c r="A11" s="1"/>
      <c r="B11" s="124" t="s">
        <v>185</v>
      </c>
      <c r="C11" s="125"/>
      <c r="D11" s="126"/>
      <c r="E11" s="9">
        <v>-345053.36399666965</v>
      </c>
      <c r="F11" s="14" t="s">
        <v>3</v>
      </c>
      <c r="G11" s="1"/>
    </row>
    <row r="12" spans="1:7" x14ac:dyDescent="0.25">
      <c r="A12" s="1"/>
      <c r="B12" s="63"/>
      <c r="C12" s="64"/>
      <c r="D12" s="64"/>
      <c r="E12" s="64"/>
      <c r="F12" s="19"/>
      <c r="G12" s="1"/>
    </row>
    <row r="13" spans="1:7" ht="64.900000000000006" customHeight="1" x14ac:dyDescent="0.25">
      <c r="A13" s="1"/>
      <c r="B13" s="100" t="s">
        <v>250</v>
      </c>
      <c r="C13" s="101"/>
      <c r="D13" s="101"/>
      <c r="E13" s="101"/>
      <c r="F13" s="102"/>
      <c r="G13" s="1"/>
    </row>
    <row r="14" spans="1:7" ht="27" customHeight="1" x14ac:dyDescent="0.25">
      <c r="A14" s="1"/>
      <c r="B14" s="1"/>
      <c r="C14" s="1"/>
      <c r="D14" s="1"/>
      <c r="E14" s="1"/>
      <c r="F14" s="1"/>
      <c r="G14" s="1"/>
    </row>
    <row r="15" spans="1:7" ht="28.5" customHeight="1" x14ac:dyDescent="0.25">
      <c r="A15" s="1"/>
      <c r="B15" s="117" t="s">
        <v>157</v>
      </c>
      <c r="C15" s="118"/>
      <c r="D15" s="118"/>
      <c r="E15" s="118"/>
      <c r="F15" s="119"/>
      <c r="G15" s="1"/>
    </row>
    <row r="16" spans="1:7" x14ac:dyDescent="0.25">
      <c r="A16" s="1"/>
      <c r="B16" s="124" t="s">
        <v>235</v>
      </c>
      <c r="C16" s="125"/>
      <c r="D16" s="126"/>
      <c r="E16" s="9">
        <f>-86263.3409991674*2</f>
        <v>-172526.6819983348</v>
      </c>
      <c r="F16" s="14" t="s">
        <v>3</v>
      </c>
      <c r="G16" s="1"/>
    </row>
    <row r="17" spans="1:7" x14ac:dyDescent="0.25">
      <c r="A17" s="1"/>
      <c r="B17" s="124" t="s">
        <v>236</v>
      </c>
      <c r="C17" s="125"/>
      <c r="D17" s="126"/>
      <c r="E17" s="9">
        <f>-86263.3409991674*2</f>
        <v>-172526.6819983348</v>
      </c>
      <c r="F17" s="14" t="s">
        <v>3</v>
      </c>
      <c r="G17" s="1"/>
    </row>
    <row r="18" spans="1:7" x14ac:dyDescent="0.25">
      <c r="A18" s="1"/>
      <c r="B18" s="63"/>
      <c r="C18" s="64"/>
      <c r="D18" s="64"/>
      <c r="E18" s="64"/>
      <c r="F18" s="19"/>
      <c r="G18" s="1"/>
    </row>
    <row r="19" spans="1:7" ht="31.5" customHeight="1" x14ac:dyDescent="0.25">
      <c r="A19" s="1"/>
      <c r="B19" s="100" t="s">
        <v>158</v>
      </c>
      <c r="C19" s="101"/>
      <c r="D19" s="101"/>
      <c r="E19" s="101"/>
      <c r="F19" s="102"/>
      <c r="G19" s="1"/>
    </row>
    <row r="20" spans="1:7" ht="28.5" customHeight="1" x14ac:dyDescent="0.25">
      <c r="A20" s="1"/>
      <c r="B20" s="1"/>
      <c r="C20" s="1"/>
      <c r="D20" s="1"/>
      <c r="E20" s="1"/>
      <c r="F20" s="1"/>
      <c r="G20" s="1"/>
    </row>
    <row r="21" spans="1:7" ht="28.5" customHeight="1" x14ac:dyDescent="0.25">
      <c r="A21" s="1"/>
      <c r="B21" s="67" t="s">
        <v>186</v>
      </c>
      <c r="C21" s="68"/>
      <c r="D21" s="68"/>
      <c r="E21" s="68"/>
      <c r="F21" s="69"/>
      <c r="G21" s="1"/>
    </row>
    <row r="22" spans="1:7" x14ac:dyDescent="0.25">
      <c r="A22" s="1"/>
      <c r="B22" s="72" t="s">
        <v>237</v>
      </c>
      <c r="C22" s="73"/>
      <c r="D22" s="74"/>
      <c r="E22" s="9">
        <v>17951740.742004666</v>
      </c>
      <c r="F22" s="14" t="s">
        <v>3</v>
      </c>
      <c r="G22" s="1"/>
    </row>
    <row r="23" spans="1:7" x14ac:dyDescent="0.25">
      <c r="A23" s="1"/>
      <c r="B23" s="72" t="s">
        <v>187</v>
      </c>
      <c r="C23" s="73"/>
      <c r="D23" s="74"/>
      <c r="E23" s="9">
        <v>17487423</v>
      </c>
      <c r="F23" s="14" t="s">
        <v>3</v>
      </c>
      <c r="G23" s="1"/>
    </row>
    <row r="24" spans="1:7" x14ac:dyDescent="0.25">
      <c r="A24" s="1"/>
      <c r="B24" s="72" t="s">
        <v>31</v>
      </c>
      <c r="C24" s="73"/>
      <c r="D24" s="74"/>
      <c r="E24" s="9">
        <v>509233</v>
      </c>
      <c r="F24" s="14" t="s">
        <v>3</v>
      </c>
      <c r="G24" s="1"/>
    </row>
    <row r="25" spans="1:7" x14ac:dyDescent="0.25">
      <c r="A25" s="1"/>
      <c r="B25" s="47" t="s">
        <v>251</v>
      </c>
      <c r="C25" s="48"/>
      <c r="D25" s="49"/>
      <c r="E25" s="53">
        <f>E22-(E23-E24)</f>
        <v>973550.74200466648</v>
      </c>
      <c r="F25" s="17" t="s">
        <v>3</v>
      </c>
      <c r="G25" s="1"/>
    </row>
    <row r="26" spans="1:7" x14ac:dyDescent="0.25">
      <c r="A26" s="1"/>
      <c r="B26" s="63"/>
      <c r="C26" s="64"/>
      <c r="D26" s="64"/>
      <c r="E26" s="64"/>
      <c r="F26" s="19"/>
      <c r="G26" s="1"/>
    </row>
    <row r="27" spans="1:7" x14ac:dyDescent="0.25">
      <c r="A27" s="1"/>
      <c r="B27" s="1"/>
      <c r="C27" s="1"/>
      <c r="D27" s="1"/>
      <c r="E27" s="1"/>
      <c r="F27" s="1"/>
      <c r="G27" s="1"/>
    </row>
    <row r="28" spans="1:7" ht="28.5" customHeight="1" x14ac:dyDescent="0.25">
      <c r="A28" s="1"/>
      <c r="B28" s="117" t="s">
        <v>238</v>
      </c>
      <c r="C28" s="118"/>
      <c r="D28" s="118"/>
      <c r="E28" s="118"/>
      <c r="F28" s="119"/>
      <c r="G28" s="1"/>
    </row>
    <row r="29" spans="1:7" x14ac:dyDescent="0.25">
      <c r="A29" s="1"/>
      <c r="B29" s="142" t="s">
        <v>128</v>
      </c>
      <c r="C29" s="143"/>
      <c r="D29" s="144"/>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-345053.36399666959</v>
      </c>
      <c r="F29" s="14" t="s">
        <v>3</v>
      </c>
      <c r="G29" s="1"/>
    </row>
    <row r="30" spans="1:7" x14ac:dyDescent="0.25">
      <c r="A30" s="1"/>
      <c r="B30" s="142" t="s">
        <v>93</v>
      </c>
      <c r="C30" s="143"/>
      <c r="D30" s="144"/>
      <c r="E30" s="9">
        <v>2</v>
      </c>
      <c r="F30" s="14" t="s">
        <v>18</v>
      </c>
      <c r="G30" s="1"/>
    </row>
    <row r="31" spans="1:7" x14ac:dyDescent="0.25">
      <c r="A31" s="1"/>
      <c r="B31" s="135" t="s">
        <v>127</v>
      </c>
      <c r="C31" s="135"/>
      <c r="D31" s="135"/>
      <c r="E31" s="10">
        <f>E29/E30</f>
        <v>-172526.6819983348</v>
      </c>
      <c r="F31" s="17" t="s">
        <v>3</v>
      </c>
      <c r="G31" s="1"/>
    </row>
    <row r="32" spans="1:7" x14ac:dyDescent="0.25">
      <c r="A32" s="1"/>
      <c r="B32" s="136"/>
      <c r="C32" s="137"/>
      <c r="D32" s="137"/>
      <c r="E32" s="137"/>
      <c r="F32" s="138"/>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1"/>
      <c r="C38" s="51"/>
      <c r="D38" s="51"/>
      <c r="E38" s="51"/>
      <c r="F38" s="51"/>
    </row>
    <row r="39" spans="1:7" x14ac:dyDescent="0.25">
      <c r="A39" s="51"/>
      <c r="B39" s="51"/>
      <c r="C39" s="51"/>
      <c r="D39" s="51"/>
      <c r="E39" s="51"/>
      <c r="F39" s="51"/>
      <c r="G39" s="51"/>
    </row>
    <row r="40" spans="1:7" x14ac:dyDescent="0.25">
      <c r="A40" s="51"/>
      <c r="B40" s="51"/>
      <c r="C40" s="51"/>
      <c r="D40" s="51"/>
      <c r="E40" s="51"/>
      <c r="F40" s="51"/>
      <c r="G40" s="51"/>
    </row>
    <row r="41" spans="1:7" x14ac:dyDescent="0.25">
      <c r="A41" s="51"/>
      <c r="B41" s="51"/>
      <c r="C41" s="51"/>
      <c r="D41" s="51"/>
      <c r="E41" s="51"/>
      <c r="F41" s="51"/>
      <c r="G41" s="51"/>
    </row>
    <row r="42" spans="1:7" x14ac:dyDescent="0.25">
      <c r="A42" s="51"/>
      <c r="B42" s="51"/>
      <c r="C42" s="51"/>
      <c r="D42" s="51"/>
      <c r="E42" s="51"/>
      <c r="F42" s="51"/>
      <c r="G42" s="51"/>
    </row>
  </sheetData>
  <sheetProtection algorithmName="SHA-512" hashValue="sQbj8MueMjG5oLd5DiD0xL7jKp9nUQw3u0XhRxKMfCC6kqqozCdiVl8tZ0A8cAtrRAJmqBrQzaj5L9BMDu0CUQ==" saltValue="oS+FPjaIx+85mHd1QzujuA==" spinCount="100000" sheet="1" objects="1" scenarios="1"/>
  <mergeCells count="15">
    <mergeCell ref="B3:F4"/>
    <mergeCell ref="B17:D17"/>
    <mergeCell ref="B9:D9"/>
    <mergeCell ref="B13:F13"/>
    <mergeCell ref="B15:F15"/>
    <mergeCell ref="B16:D16"/>
    <mergeCell ref="B31:D31"/>
    <mergeCell ref="B32:F32"/>
    <mergeCell ref="B8:F8"/>
    <mergeCell ref="B10:D10"/>
    <mergeCell ref="B11:D11"/>
    <mergeCell ref="B30:D30"/>
    <mergeCell ref="B19:F19"/>
    <mergeCell ref="B28:F28"/>
    <mergeCell ref="B29:D29"/>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42"/>
  <sheetViews>
    <sheetView view="pageLayout" zoomScaleNormal="100" workbookViewId="0"/>
  </sheetViews>
  <sheetFormatPr defaultColWidth="9.140625" defaultRowHeight="15" x14ac:dyDescent="0.25"/>
  <cols>
    <col min="1" max="1" width="4.7109375" style="36" customWidth="1"/>
    <col min="2" max="2" width="22.5703125" style="36" customWidth="1"/>
    <col min="3" max="3" width="8.28515625" style="36" customWidth="1"/>
    <col min="4" max="6" width="10.7109375" style="36" customWidth="1"/>
    <col min="7" max="7" width="11.140625" style="36" customWidth="1"/>
    <col min="8" max="8" width="3.28515625" style="36" customWidth="1"/>
    <col min="9" max="9" width="4.85546875" style="36" customWidth="1"/>
    <col min="10" max="16384" width="9.140625" style="36"/>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8" t="s">
        <v>226</v>
      </c>
      <c r="C3" s="98"/>
      <c r="D3" s="98"/>
      <c r="E3" s="98"/>
      <c r="F3" s="98"/>
      <c r="G3" s="98"/>
      <c r="H3" s="98"/>
      <c r="I3" s="1"/>
    </row>
    <row r="4" spans="1:9" ht="15" customHeight="1" x14ac:dyDescent="0.25">
      <c r="A4" s="1"/>
      <c r="B4" s="98"/>
      <c r="C4" s="98"/>
      <c r="D4" s="98"/>
      <c r="E4" s="98"/>
      <c r="F4" s="98"/>
      <c r="G4" s="98"/>
      <c r="H4" s="98"/>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7" t="s">
        <v>227</v>
      </c>
      <c r="C8" s="118"/>
      <c r="D8" s="118"/>
      <c r="E8" s="118"/>
      <c r="F8" s="118"/>
      <c r="G8" s="118"/>
      <c r="H8" s="119"/>
      <c r="I8" s="1"/>
    </row>
    <row r="9" spans="1:9" ht="15" customHeight="1" x14ac:dyDescent="0.25">
      <c r="A9" s="1"/>
      <c r="B9" s="109" t="s">
        <v>228</v>
      </c>
      <c r="C9" s="110"/>
      <c r="D9" s="110"/>
      <c r="E9" s="110"/>
      <c r="F9" s="110"/>
      <c r="G9" s="110"/>
      <c r="H9" s="111"/>
      <c r="I9" s="1"/>
    </row>
    <row r="10" spans="1:9" x14ac:dyDescent="0.25">
      <c r="A10" s="1"/>
      <c r="B10" s="145" t="s">
        <v>242</v>
      </c>
      <c r="C10" s="146"/>
      <c r="D10" s="146"/>
      <c r="E10" s="146"/>
      <c r="F10" s="147"/>
      <c r="G10" s="52">
        <v>0</v>
      </c>
      <c r="H10" s="9" t="s">
        <v>3</v>
      </c>
      <c r="I10" s="1"/>
    </row>
    <row r="11" spans="1:9" x14ac:dyDescent="0.25">
      <c r="A11" s="1"/>
      <c r="B11" s="145" t="s">
        <v>243</v>
      </c>
      <c r="C11" s="146"/>
      <c r="D11" s="146"/>
      <c r="E11" s="146"/>
      <c r="F11" s="147"/>
      <c r="G11" s="52">
        <v>0</v>
      </c>
      <c r="H11" s="9" t="s">
        <v>3</v>
      </c>
      <c r="I11" s="1"/>
    </row>
    <row r="12" spans="1:9" x14ac:dyDescent="0.25">
      <c r="A12" s="1"/>
      <c r="B12" s="145" t="s">
        <v>244</v>
      </c>
      <c r="C12" s="146"/>
      <c r="D12" s="146"/>
      <c r="E12" s="146"/>
      <c r="F12" s="147"/>
      <c r="G12" s="9">
        <v>0</v>
      </c>
      <c r="H12" s="9" t="s">
        <v>3</v>
      </c>
      <c r="I12" s="1"/>
    </row>
    <row r="13" spans="1:9" x14ac:dyDescent="0.25">
      <c r="A13" s="1"/>
      <c r="B13" s="145" t="s">
        <v>245</v>
      </c>
      <c r="C13" s="146"/>
      <c r="D13" s="146"/>
      <c r="E13" s="146"/>
      <c r="F13" s="147"/>
      <c r="G13" s="9">
        <v>0</v>
      </c>
      <c r="H13" s="9" t="s">
        <v>3</v>
      </c>
      <c r="I13" s="1"/>
    </row>
    <row r="14" spans="1:9" x14ac:dyDescent="0.25">
      <c r="A14" s="1"/>
      <c r="B14" s="145" t="s">
        <v>246</v>
      </c>
      <c r="C14" s="146"/>
      <c r="D14" s="146"/>
      <c r="E14" s="146"/>
      <c r="F14" s="147"/>
      <c r="G14" s="9">
        <v>0</v>
      </c>
      <c r="H14" s="9" t="s">
        <v>3</v>
      </c>
      <c r="I14" s="1"/>
    </row>
    <row r="15" spans="1:9" x14ac:dyDescent="0.25">
      <c r="A15" s="1"/>
      <c r="B15" s="145" t="s">
        <v>247</v>
      </c>
      <c r="C15" s="146"/>
      <c r="D15" s="146"/>
      <c r="E15" s="146"/>
      <c r="F15" s="147"/>
      <c r="G15" s="9">
        <v>0</v>
      </c>
      <c r="H15" s="9" t="s">
        <v>3</v>
      </c>
      <c r="I15" s="1"/>
    </row>
    <row r="16" spans="1:9" x14ac:dyDescent="0.25">
      <c r="A16" s="1"/>
      <c r="B16" s="145" t="s">
        <v>248</v>
      </c>
      <c r="C16" s="146"/>
      <c r="D16" s="146"/>
      <c r="E16" s="146"/>
      <c r="F16" s="147"/>
      <c r="G16" s="9">
        <v>0</v>
      </c>
      <c r="H16" s="9" t="s">
        <v>3</v>
      </c>
      <c r="I16" s="1"/>
    </row>
    <row r="17" spans="1:9" x14ac:dyDescent="0.25">
      <c r="A17" s="1"/>
      <c r="B17" s="145" t="s">
        <v>249</v>
      </c>
      <c r="C17" s="146"/>
      <c r="D17" s="146"/>
      <c r="E17" s="146"/>
      <c r="F17" s="147"/>
      <c r="G17" s="9">
        <v>0</v>
      </c>
      <c r="H17" s="9" t="s">
        <v>3</v>
      </c>
      <c r="I17" s="1"/>
    </row>
    <row r="18" spans="1:9" x14ac:dyDescent="0.25">
      <c r="A18" s="1"/>
      <c r="B18" s="117" t="s">
        <v>229</v>
      </c>
      <c r="C18" s="118"/>
      <c r="D18" s="118"/>
      <c r="E18" s="118"/>
      <c r="F18" s="11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sheetData>
  <sheetProtection algorithmName="SHA-512" hashValue="vrVx8z1fkGqUlNWIWfxGmT5comm0IftMFzd6H+VP60qvHVdzkWSx/CJOb1Z/Y13EsahtHVWEmQoecOHvhG8+3Q==" saltValue="WYnC0sh1bRYypAQZxeWNN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3.85546875" style="2" customWidth="1"/>
    <col min="3" max="3" width="7.28515625" style="2" customWidth="1"/>
    <col min="4" max="4" width="8.5703125" style="2" customWidth="1"/>
    <col min="5" max="5" width="2.7109375" style="2" customWidth="1"/>
    <col min="6" max="6" width="8.5703125" style="2" customWidth="1"/>
    <col min="7" max="7" width="2.7109375" style="2" customWidth="1"/>
    <col min="8" max="8" width="8.5703125" style="2" customWidth="1"/>
    <col min="9" max="9" width="2.7109375" style="2" customWidth="1"/>
    <col min="10" max="10" width="8.5703125"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8" t="s">
        <v>220</v>
      </c>
      <c r="C3" s="98"/>
      <c r="D3" s="98"/>
      <c r="E3" s="98"/>
      <c r="F3" s="98"/>
      <c r="G3" s="98"/>
      <c r="H3" s="98"/>
      <c r="I3" s="98"/>
      <c r="J3" s="98"/>
      <c r="K3" s="98"/>
      <c r="L3" s="1"/>
    </row>
    <row r="4" spans="1:12" ht="15" customHeight="1" x14ac:dyDescent="0.25">
      <c r="A4" s="1"/>
      <c r="B4" s="98"/>
      <c r="C4" s="98"/>
      <c r="D4" s="98"/>
      <c r="E4" s="98"/>
      <c r="F4" s="98"/>
      <c r="G4" s="98"/>
      <c r="H4" s="98"/>
      <c r="I4" s="98"/>
      <c r="J4" s="98"/>
      <c r="K4" s="98"/>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7" t="s">
        <v>192</v>
      </c>
      <c r="C8" s="118"/>
      <c r="D8" s="118"/>
      <c r="E8" s="118"/>
      <c r="F8" s="118"/>
      <c r="G8" s="118"/>
      <c r="H8" s="118"/>
      <c r="I8" s="118"/>
      <c r="J8" s="118"/>
      <c r="K8" s="119"/>
      <c r="L8" s="1"/>
    </row>
    <row r="9" spans="1:12" ht="39.75" customHeight="1" x14ac:dyDescent="0.25">
      <c r="A9" s="1"/>
      <c r="B9" s="18" t="s">
        <v>0</v>
      </c>
      <c r="C9" s="18" t="s">
        <v>1</v>
      </c>
      <c r="D9" s="148" t="s">
        <v>213</v>
      </c>
      <c r="E9" s="149"/>
      <c r="F9" s="148" t="s">
        <v>2</v>
      </c>
      <c r="G9" s="149"/>
      <c r="H9" s="148" t="s">
        <v>214</v>
      </c>
      <c r="I9" s="149"/>
      <c r="J9" s="148" t="s">
        <v>28</v>
      </c>
      <c r="K9" s="149"/>
      <c r="L9" s="1"/>
    </row>
    <row r="10" spans="1:12" x14ac:dyDescent="0.25">
      <c r="A10" s="1"/>
      <c r="B10" s="77" t="s">
        <v>230</v>
      </c>
      <c r="C10" s="29">
        <v>0</v>
      </c>
      <c r="D10" s="9">
        <v>0</v>
      </c>
      <c r="E10" s="14" t="s">
        <v>3</v>
      </c>
      <c r="F10" s="35">
        <f>IFERROR(D10/C10,0)</f>
        <v>0</v>
      </c>
      <c r="G10" s="14" t="s">
        <v>3</v>
      </c>
      <c r="H10" s="9">
        <v>0</v>
      </c>
      <c r="I10" s="14" t="s">
        <v>3</v>
      </c>
      <c r="J10" s="9">
        <v>0</v>
      </c>
      <c r="K10" s="14" t="s">
        <v>3</v>
      </c>
      <c r="L10" s="1"/>
    </row>
    <row r="11" spans="1:12" x14ac:dyDescent="0.25">
      <c r="A11" s="1"/>
      <c r="B11" s="63" t="s">
        <v>193</v>
      </c>
      <c r="C11" s="64"/>
      <c r="D11" s="19"/>
      <c r="E11" s="69"/>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S+lxL8FNrZ3G6Wo3OZySMSrMGe5H36fLol0P0fqXe4YaoDdDE+fz380yviF6Vfxm9gTJqI8OjW/95wmysAiVWg==" saltValue="98BjhUooQZjh0MN+PyCVlg=="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221</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75</v>
      </c>
      <c r="C8" s="64"/>
      <c r="D8" s="64"/>
      <c r="E8" s="64"/>
      <c r="F8" s="19"/>
      <c r="G8" s="1"/>
    </row>
    <row r="9" spans="1:7" ht="17.25" customHeight="1" x14ac:dyDescent="0.25">
      <c r="A9" s="1"/>
      <c r="B9" s="61" t="s">
        <v>15</v>
      </c>
      <c r="C9" s="61" t="s">
        <v>10</v>
      </c>
      <c r="D9" s="62"/>
      <c r="E9" s="61" t="s">
        <v>29</v>
      </c>
      <c r="F9" s="66"/>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241</v>
      </c>
      <c r="C11" s="21">
        <v>239643</v>
      </c>
      <c r="D11" s="14" t="s">
        <v>3</v>
      </c>
      <c r="E11" s="9">
        <v>51790</v>
      </c>
      <c r="F11" s="14" t="s">
        <v>3</v>
      </c>
      <c r="G11" s="1"/>
    </row>
    <row r="12" spans="1:7" x14ac:dyDescent="0.25">
      <c r="A12" s="1"/>
      <c r="B12" s="63" t="s">
        <v>148</v>
      </c>
      <c r="C12" s="12">
        <f>SUM(C10:C11)</f>
        <v>239643</v>
      </c>
      <c r="D12" s="13" t="s">
        <v>3</v>
      </c>
      <c r="E12" s="12">
        <f>SUM(E10:E11)</f>
        <v>51790</v>
      </c>
      <c r="F12" s="13" t="s">
        <v>3</v>
      </c>
      <c r="G12" s="1"/>
    </row>
    <row r="13" spans="1:7" x14ac:dyDescent="0.25">
      <c r="A13" s="1"/>
      <c r="B13" s="63" t="s">
        <v>188</v>
      </c>
      <c r="C13" s="12">
        <f>C12*(1+'Fane 13. Nøgletal'!C15)</f>
        <v>248174.29080000002</v>
      </c>
      <c r="D13" s="13" t="s">
        <v>3</v>
      </c>
      <c r="E13" s="12">
        <f>E12*(1+'Fane 13. Nøgletal'!C15)</f>
        <v>53633.724000000002</v>
      </c>
      <c r="F13" s="13" t="s">
        <v>3</v>
      </c>
      <c r="G13" s="1"/>
    </row>
    <row r="14" spans="1:7" x14ac:dyDescent="0.25">
      <c r="A14" s="1"/>
      <c r="B14" s="1"/>
      <c r="C14" s="1" t="s">
        <v>210</v>
      </c>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NM7opMSEO89eKAmyzv7gYolzYf2SUBTH72qpl6QcHuEHzX58T/djLviCJjZYK/zrBeBiseTov6GCESBT9uzMRg==" saltValue="BhQg05WFnyeo8j+p2H6+M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8" t="s">
        <v>222</v>
      </c>
      <c r="C3" s="98"/>
      <c r="D3" s="98"/>
      <c r="E3" s="98"/>
      <c r="F3" s="98"/>
      <c r="G3" s="1"/>
    </row>
    <row r="4" spans="1:7" ht="15" customHeight="1" x14ac:dyDescent="0.25">
      <c r="A4" s="1"/>
      <c r="B4" s="98"/>
      <c r="C4" s="98"/>
      <c r="D4" s="98"/>
      <c r="E4" s="98"/>
      <c r="F4" s="98"/>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7" t="s">
        <v>88</v>
      </c>
      <c r="C9" s="118"/>
      <c r="D9" s="118"/>
      <c r="E9" s="118"/>
      <c r="F9" s="119"/>
      <c r="G9" s="1"/>
    </row>
    <row r="10" spans="1:7" ht="26.25" x14ac:dyDescent="0.25">
      <c r="A10" s="1"/>
      <c r="B10" s="61" t="s">
        <v>15</v>
      </c>
      <c r="C10" s="61" t="s">
        <v>10</v>
      </c>
      <c r="D10" s="62"/>
      <c r="E10" s="61" t="s">
        <v>29</v>
      </c>
      <c r="F10" s="66"/>
      <c r="G10" s="1"/>
    </row>
    <row r="11" spans="1:7" x14ac:dyDescent="0.25">
      <c r="A11" s="1"/>
      <c r="B11" s="22" t="s">
        <v>252</v>
      </c>
      <c r="C11" s="21">
        <v>0</v>
      </c>
      <c r="D11" s="14" t="s">
        <v>3</v>
      </c>
      <c r="E11" s="9">
        <v>0</v>
      </c>
      <c r="F11" s="14" t="s">
        <v>3</v>
      </c>
      <c r="G11" s="1"/>
    </row>
    <row r="12" spans="1:7" x14ac:dyDescent="0.25">
      <c r="A12" s="1"/>
      <c r="B12" s="63" t="s">
        <v>195</v>
      </c>
      <c r="C12" s="12">
        <f>SUM(C11:C11)</f>
        <v>0</v>
      </c>
      <c r="D12" s="13" t="s">
        <v>3</v>
      </c>
      <c r="E12" s="12">
        <f>SUM(E11:E11)</f>
        <v>0</v>
      </c>
      <c r="F12" s="13" t="s">
        <v>3</v>
      </c>
      <c r="G12" s="1"/>
    </row>
    <row r="13" spans="1:7" x14ac:dyDescent="0.25">
      <c r="A13" s="1"/>
      <c r="B13" s="63"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aWXre7JzsDj818S7BXCsncaUxRrlUQZKmY/9eZxyJjccOkJY08RcZvSJ/1Oo+UB43z5ztKtND7Y0ME7rik+mQQ==" saltValue="U0qWbJSxu/NrQxreKoFKa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223</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7" t="s">
        <v>112</v>
      </c>
      <c r="C8" s="118"/>
      <c r="D8" s="118"/>
      <c r="E8" s="118"/>
      <c r="F8" s="119"/>
      <c r="G8" s="1"/>
    </row>
    <row r="9" spans="1:7" ht="15" customHeight="1" x14ac:dyDescent="0.25">
      <c r="A9" s="1"/>
      <c r="B9" s="65" t="s">
        <v>113</v>
      </c>
      <c r="C9" s="109" t="s">
        <v>10</v>
      </c>
      <c r="D9" s="111"/>
      <c r="E9" s="109" t="s">
        <v>29</v>
      </c>
      <c r="F9" s="111"/>
      <c r="G9" s="1"/>
    </row>
    <row r="10" spans="1:7" x14ac:dyDescent="0.25">
      <c r="A10" s="1"/>
      <c r="B10" s="22" t="s">
        <v>239</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Ebkmt32Wvsknjm1gJlt+tXEmq8pwiIirDk4NOCEkSU8b1I2QLDEhqVnE5vn0Dz40OdFdqzFRH23QsE/PEsKNA==" saltValue="OBfghuGOjYPdnoI3+yfb9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224</v>
      </c>
      <c r="C3" s="120"/>
      <c r="D3" s="120"/>
      <c r="E3" s="120"/>
      <c r="F3" s="120"/>
      <c r="G3" s="1"/>
    </row>
    <row r="4" spans="1:7" ht="25.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17" t="s">
        <v>85</v>
      </c>
      <c r="C10" s="118"/>
      <c r="D10" s="118"/>
      <c r="E10" s="118"/>
      <c r="F10" s="119"/>
      <c r="G10" s="1"/>
    </row>
    <row r="11" spans="1:7" ht="26.25" x14ac:dyDescent="0.25">
      <c r="A11" s="1"/>
      <c r="B11" s="65" t="s">
        <v>16</v>
      </c>
      <c r="C11" s="65" t="s">
        <v>10</v>
      </c>
      <c r="D11" s="66"/>
      <c r="E11" s="65" t="s">
        <v>29</v>
      </c>
      <c r="F11" s="66"/>
      <c r="G11" s="1"/>
    </row>
    <row r="12" spans="1:7" x14ac:dyDescent="0.25">
      <c r="A12" s="1"/>
      <c r="B12" s="22" t="s">
        <v>240</v>
      </c>
      <c r="C12" s="9">
        <v>0</v>
      </c>
      <c r="D12" s="14" t="s">
        <v>3</v>
      </c>
      <c r="E12" s="9">
        <v>0</v>
      </c>
      <c r="F12" s="14" t="s">
        <v>3</v>
      </c>
      <c r="G12" s="1"/>
    </row>
    <row r="13" spans="1:7" x14ac:dyDescent="0.25">
      <c r="A13" s="1"/>
      <c r="B13" s="63" t="s">
        <v>196</v>
      </c>
      <c r="C13" s="12">
        <f>SUM(C12:C12)</f>
        <v>0</v>
      </c>
      <c r="D13" s="13" t="s">
        <v>3</v>
      </c>
      <c r="E13" s="12">
        <f>SUM(E12:E12)</f>
        <v>0</v>
      </c>
      <c r="F13" s="13" t="s">
        <v>3</v>
      </c>
      <c r="G13" s="1"/>
    </row>
    <row r="14" spans="1:7" x14ac:dyDescent="0.25">
      <c r="A14" s="1"/>
      <c r="B14" s="63"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oaz7XfbHu9AkefXDSaXbq96pFebTCC9gv5F/FXwciSeHGl/VQqyKE0Rbwc91O46TlUNJe0mQArR9DIa42y2wKw==" saltValue="+wk+9TkxImGywWCfA8nGJ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8"/>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5" customWidth="1"/>
    <col min="4" max="4" width="9" style="2" customWidth="1"/>
    <col min="5" max="16384" width="9.140625" style="2"/>
  </cols>
  <sheetData>
    <row r="1" spans="1:4" x14ac:dyDescent="0.25">
      <c r="A1" s="1"/>
      <c r="B1" s="1"/>
      <c r="C1" s="40"/>
      <c r="D1" s="1"/>
    </row>
    <row r="2" spans="1:4" x14ac:dyDescent="0.25">
      <c r="A2" s="1"/>
      <c r="B2" s="1"/>
      <c r="C2" s="40"/>
      <c r="D2" s="1"/>
    </row>
    <row r="3" spans="1:4" ht="15" customHeight="1" x14ac:dyDescent="0.25">
      <c r="A3" s="1"/>
      <c r="B3" s="120" t="s">
        <v>225</v>
      </c>
      <c r="C3" s="120"/>
      <c r="D3" s="1"/>
    </row>
    <row r="4" spans="1:4" ht="25.5" customHeight="1" x14ac:dyDescent="0.25">
      <c r="A4" s="1"/>
      <c r="B4" s="120"/>
      <c r="C4" s="120"/>
      <c r="D4" s="1"/>
    </row>
    <row r="5" spans="1:4" x14ac:dyDescent="0.25">
      <c r="A5" s="1"/>
      <c r="B5" s="1"/>
      <c r="C5" s="40"/>
      <c r="D5" s="1"/>
    </row>
    <row r="6" spans="1:4" x14ac:dyDescent="0.25">
      <c r="A6" s="1"/>
      <c r="B6" s="1"/>
      <c r="C6" s="40"/>
      <c r="D6" s="1"/>
    </row>
    <row r="7" spans="1:4" x14ac:dyDescent="0.25">
      <c r="A7" s="1"/>
      <c r="B7" s="1"/>
      <c r="C7" s="40"/>
      <c r="D7" s="1"/>
    </row>
    <row r="8" spans="1:4" x14ac:dyDescent="0.25">
      <c r="A8" s="1"/>
      <c r="B8" s="63" t="s">
        <v>13</v>
      </c>
      <c r="C8" s="41"/>
      <c r="D8" s="1"/>
    </row>
    <row r="9" spans="1:4" x14ac:dyDescent="0.25">
      <c r="A9" s="1"/>
      <c r="B9" s="75" t="s">
        <v>101</v>
      </c>
      <c r="C9" s="42">
        <v>1.2699999999999999E-2</v>
      </c>
      <c r="D9" s="1"/>
    </row>
    <row r="10" spans="1:4" x14ac:dyDescent="0.25">
      <c r="A10" s="1"/>
      <c r="B10" s="75" t="s">
        <v>21</v>
      </c>
      <c r="C10" s="42">
        <v>1.7500000000000002E-2</v>
      </c>
      <c r="D10" s="1"/>
    </row>
    <row r="11" spans="1:4" x14ac:dyDescent="0.25">
      <c r="A11" s="1"/>
      <c r="B11" s="75" t="s">
        <v>102</v>
      </c>
      <c r="C11" s="42">
        <v>1.6899999999999998E-2</v>
      </c>
      <c r="D11" s="1"/>
    </row>
    <row r="12" spans="1:4" x14ac:dyDescent="0.25">
      <c r="A12" s="1"/>
      <c r="B12" s="24" t="s">
        <v>37</v>
      </c>
      <c r="C12" s="43">
        <v>1.9699999999999999E-2</v>
      </c>
      <c r="D12" s="1"/>
    </row>
    <row r="13" spans="1:4" x14ac:dyDescent="0.25">
      <c r="A13" s="1"/>
      <c r="B13" s="24" t="s">
        <v>118</v>
      </c>
      <c r="C13" s="43">
        <v>1.2200000000000001E-2</v>
      </c>
      <c r="D13" s="1"/>
    </row>
    <row r="14" spans="1:4" x14ac:dyDescent="0.25">
      <c r="A14" s="1"/>
      <c r="B14" s="24" t="s">
        <v>150</v>
      </c>
      <c r="C14" s="44">
        <v>3.3E-3</v>
      </c>
      <c r="D14" s="1"/>
    </row>
    <row r="15" spans="1:4" x14ac:dyDescent="0.25">
      <c r="A15" s="1"/>
      <c r="B15" s="24" t="s">
        <v>190</v>
      </c>
      <c r="C15" s="44">
        <v>3.56E-2</v>
      </c>
      <c r="D15" s="1"/>
    </row>
    <row r="16" spans="1:4" x14ac:dyDescent="0.25">
      <c r="A16" s="1"/>
      <c r="B16" s="117"/>
      <c r="C16" s="119"/>
      <c r="D16" s="1"/>
    </row>
    <row r="17" spans="1:4" x14ac:dyDescent="0.25">
      <c r="A17" s="1"/>
      <c r="B17" s="1"/>
      <c r="C17" s="40"/>
      <c r="D17" s="1"/>
    </row>
    <row r="18" spans="1:4" x14ac:dyDescent="0.25">
      <c r="A18" s="1"/>
      <c r="B18" s="1"/>
      <c r="C18" s="40"/>
      <c r="D18" s="1"/>
    </row>
    <row r="19" spans="1:4" x14ac:dyDescent="0.25">
      <c r="A19" s="1"/>
      <c r="B19" s="63" t="s">
        <v>89</v>
      </c>
      <c r="C19" s="41"/>
      <c r="D19" s="1"/>
    </row>
    <row r="20" spans="1:4" x14ac:dyDescent="0.25">
      <c r="A20" s="1"/>
      <c r="B20" s="75" t="s">
        <v>103</v>
      </c>
      <c r="C20" s="44">
        <v>9.1000000000000004E-3</v>
      </c>
      <c r="D20" s="1"/>
    </row>
    <row r="21" spans="1:4" x14ac:dyDescent="0.25">
      <c r="A21" s="1"/>
      <c r="B21" s="75" t="s">
        <v>104</v>
      </c>
      <c r="C21" s="44">
        <v>1.77E-2</v>
      </c>
      <c r="D21" s="1"/>
    </row>
    <row r="22" spans="1:4" x14ac:dyDescent="0.25">
      <c r="A22" s="1"/>
      <c r="B22" s="75" t="s">
        <v>105</v>
      </c>
      <c r="C22" s="44">
        <v>8.6999999999999994E-3</v>
      </c>
      <c r="D22" s="1"/>
    </row>
    <row r="23" spans="1:4" x14ac:dyDescent="0.25">
      <c r="A23" s="1"/>
      <c r="B23" s="75" t="s">
        <v>106</v>
      </c>
      <c r="C23" s="44">
        <v>2.8399999999999998E-2</v>
      </c>
      <c r="D23" s="1"/>
    </row>
    <row r="24" spans="1:4" x14ac:dyDescent="0.25">
      <c r="A24" s="1"/>
      <c r="B24" s="75" t="s">
        <v>120</v>
      </c>
      <c r="C24" s="44">
        <v>2.75E-2</v>
      </c>
      <c r="D24" s="1"/>
    </row>
    <row r="25" spans="1:4" x14ac:dyDescent="0.25">
      <c r="A25" s="1"/>
      <c r="B25" s="75" t="s">
        <v>151</v>
      </c>
      <c r="C25" s="44">
        <v>1.4800000000000001E-2</v>
      </c>
      <c r="D25" s="1"/>
    </row>
    <row r="26" spans="1:4" x14ac:dyDescent="0.25">
      <c r="A26" s="1"/>
      <c r="B26" s="24" t="s">
        <v>191</v>
      </c>
      <c r="C26" s="44">
        <v>0</v>
      </c>
      <c r="D26" s="1"/>
    </row>
    <row r="27" spans="1:4" x14ac:dyDescent="0.25">
      <c r="A27" s="1"/>
      <c r="B27" s="63"/>
      <c r="C27" s="41"/>
      <c r="D27" s="1"/>
    </row>
    <row r="28" spans="1:4" x14ac:dyDescent="0.25">
      <c r="A28" s="1"/>
      <c r="B28" s="1"/>
      <c r="C28" s="40"/>
      <c r="D28" s="1"/>
    </row>
    <row r="29" spans="1:4" x14ac:dyDescent="0.25">
      <c r="A29" s="1"/>
      <c r="B29" s="1"/>
      <c r="C29" s="40"/>
      <c r="D29" s="1"/>
    </row>
    <row r="30" spans="1:4" x14ac:dyDescent="0.25">
      <c r="A30" s="1"/>
      <c r="B30" s="63" t="s">
        <v>90</v>
      </c>
      <c r="C30" s="41"/>
      <c r="D30" s="1"/>
    </row>
    <row r="31" spans="1:4" x14ac:dyDescent="0.25">
      <c r="A31" s="1"/>
      <c r="B31" s="75" t="s">
        <v>107</v>
      </c>
      <c r="C31" s="42">
        <v>0.02</v>
      </c>
      <c r="D31" s="1"/>
    </row>
    <row r="32" spans="1:4" x14ac:dyDescent="0.25">
      <c r="A32" s="1"/>
      <c r="B32" s="63"/>
      <c r="C32" s="41"/>
      <c r="D32" s="1"/>
    </row>
    <row r="33" spans="1:4" x14ac:dyDescent="0.25">
      <c r="A33" s="1"/>
      <c r="B33" s="1"/>
      <c r="C33" s="40"/>
      <c r="D33" s="1"/>
    </row>
    <row r="34" spans="1:4" x14ac:dyDescent="0.25">
      <c r="A34" s="1"/>
      <c r="B34" s="1"/>
      <c r="C34" s="40"/>
      <c r="D34" s="1"/>
    </row>
    <row r="35" spans="1:4" x14ac:dyDescent="0.25">
      <c r="A35" s="1"/>
      <c r="B35" s="1"/>
      <c r="C35" s="40"/>
      <c r="D35" s="1"/>
    </row>
    <row r="36" spans="1:4" x14ac:dyDescent="0.25">
      <c r="A36" s="1"/>
      <c r="B36" s="1"/>
      <c r="C36" s="40"/>
      <c r="D36" s="1"/>
    </row>
    <row r="37" spans="1:4" x14ac:dyDescent="0.25">
      <c r="A37" s="1"/>
      <c r="B37" s="1"/>
      <c r="C37" s="40"/>
      <c r="D37" s="1"/>
    </row>
    <row r="38" spans="1:4" x14ac:dyDescent="0.25">
      <c r="A38" s="1"/>
      <c r="B38" s="1"/>
      <c r="C38" s="40"/>
      <c r="D38" s="1"/>
    </row>
    <row r="39" spans="1:4" x14ac:dyDescent="0.25">
      <c r="A39" s="1"/>
      <c r="B39" s="1"/>
      <c r="C39" s="40"/>
      <c r="D39" s="1"/>
    </row>
    <row r="40" spans="1:4" x14ac:dyDescent="0.25">
      <c r="A40" s="1"/>
      <c r="B40" s="1"/>
      <c r="C40" s="40"/>
      <c r="D40" s="1"/>
    </row>
    <row r="41" spans="1:4" x14ac:dyDescent="0.25">
      <c r="A41" s="1"/>
      <c r="B41" s="1"/>
      <c r="C41" s="40"/>
      <c r="D41" s="1"/>
    </row>
    <row r="42" spans="1:4" x14ac:dyDescent="0.25">
      <c r="A42" s="1"/>
      <c r="B42" s="1"/>
      <c r="C42" s="40"/>
      <c r="D42" s="1"/>
    </row>
    <row r="43" spans="1:4" x14ac:dyDescent="0.25">
      <c r="A43" s="1"/>
      <c r="B43" s="1"/>
      <c r="C43" s="40"/>
      <c r="D43" s="1"/>
    </row>
    <row r="44" spans="1:4" x14ac:dyDescent="0.25">
      <c r="A44" s="1"/>
      <c r="B44" s="1"/>
      <c r="C44" s="40"/>
      <c r="D44" s="1"/>
    </row>
    <row r="45" spans="1:4" x14ac:dyDescent="0.25">
      <c r="A45" s="1"/>
      <c r="B45" s="1"/>
      <c r="C45" s="40"/>
      <c r="D45" s="1"/>
    </row>
    <row r="46" spans="1:4" x14ac:dyDescent="0.25">
      <c r="A46" s="1"/>
      <c r="B46" s="1"/>
      <c r="C46" s="40"/>
      <c r="D46" s="1"/>
    </row>
    <row r="47" spans="1:4" x14ac:dyDescent="0.25">
      <c r="A47" s="1"/>
      <c r="B47" s="1"/>
      <c r="C47" s="40"/>
      <c r="D47" s="1"/>
    </row>
    <row r="48" spans="1:4" x14ac:dyDescent="0.25">
      <c r="A48" s="1"/>
      <c r="B48" s="1"/>
      <c r="C48" s="40"/>
      <c r="D48" s="1"/>
    </row>
  </sheetData>
  <sheetProtection algorithmName="SHA-512" hashValue="0RHlyQDGgnWhxUJouOu9+NOjVLRTfuu7bTZ9Ou3t9YcXhm9l2Dwf5BX+PL0tl3Ve6nod7ONWtWh7qknHTtEtpQ==" saltValue="l4MW6DCmikLQuZ3nEppzMg=="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165</v>
      </c>
      <c r="C3" s="98"/>
      <c r="D3" s="98"/>
      <c r="E3" s="1"/>
    </row>
    <row r="4" spans="1:5" ht="15" customHeight="1" x14ac:dyDescent="0.25">
      <c r="A4" s="1"/>
      <c r="B4" s="98"/>
      <c r="C4" s="98"/>
      <c r="D4" s="98"/>
      <c r="E4" s="1"/>
    </row>
    <row r="5" spans="1:5" x14ac:dyDescent="0.25">
      <c r="A5" s="1"/>
      <c r="B5" s="1"/>
      <c r="C5" s="1"/>
      <c r="D5" s="1"/>
      <c r="E5" s="1"/>
    </row>
    <row r="6" spans="1:5" x14ac:dyDescent="0.25">
      <c r="A6" s="1"/>
      <c r="B6" s="1"/>
      <c r="C6" s="1"/>
      <c r="D6" s="1"/>
      <c r="E6" s="1"/>
    </row>
    <row r="7" spans="1:5" x14ac:dyDescent="0.25">
      <c r="A7" s="1"/>
      <c r="B7" s="63" t="s">
        <v>12</v>
      </c>
      <c r="C7" s="64"/>
      <c r="D7" s="19"/>
      <c r="E7" s="1"/>
    </row>
    <row r="8" spans="1:5" x14ac:dyDescent="0.25">
      <c r="A8" s="1"/>
      <c r="B8" s="71" t="s">
        <v>116</v>
      </c>
      <c r="C8" s="7">
        <f>'Fane 3. Omkostninger i ØR2022'!E20</f>
        <v>12605960.164914651</v>
      </c>
      <c r="D8" s="8" t="s">
        <v>3</v>
      </c>
      <c r="E8" s="1"/>
    </row>
    <row r="9" spans="1:5" ht="17.25" customHeight="1" x14ac:dyDescent="0.25">
      <c r="A9" s="1"/>
      <c r="B9" s="23" t="s">
        <v>35</v>
      </c>
      <c r="C9" s="7">
        <f>'Fane 10.1. Varige tillæg'!C13</f>
        <v>248174.29080000002</v>
      </c>
      <c r="D9" s="8" t="s">
        <v>3</v>
      </c>
      <c r="E9" s="1"/>
    </row>
    <row r="10" spans="1:5" ht="17.25" customHeight="1" x14ac:dyDescent="0.25">
      <c r="A10" s="1"/>
      <c r="B10" s="23" t="s">
        <v>36</v>
      </c>
      <c r="C10" s="9">
        <f>'Fane 10.1. Varige tillæg'!E13</f>
        <v>53633.724000000002</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459516.54719784152</v>
      </c>
      <c r="D15" s="8" t="s">
        <v>3</v>
      </c>
      <c r="E15" s="1"/>
    </row>
    <row r="16" spans="1:5" ht="17.25" customHeight="1" x14ac:dyDescent="0.25">
      <c r="A16" s="1"/>
      <c r="B16" s="23" t="s">
        <v>9</v>
      </c>
      <c r="C16" s="9">
        <f>-SUM(C8,C9:C15)*'Fane 5. Individuelt eff. krav'!G9</f>
        <v>-267345.69453824981</v>
      </c>
      <c r="D16" s="8" t="s">
        <v>3</v>
      </c>
      <c r="E16" s="1"/>
    </row>
    <row r="17" spans="1:5" ht="17.25" customHeight="1" x14ac:dyDescent="0.25">
      <c r="A17" s="1"/>
      <c r="B17" s="23" t="s">
        <v>23</v>
      </c>
      <c r="C17" s="9">
        <f>-'Fane 4.1. Gen. krav - drift'!G43</f>
        <v>-134565.85236986625</v>
      </c>
      <c r="D17" s="8" t="s">
        <v>3</v>
      </c>
      <c r="E17" s="1"/>
    </row>
    <row r="18" spans="1:5" ht="17.25" customHeight="1" x14ac:dyDescent="0.25">
      <c r="A18" s="1"/>
      <c r="B18" s="23" t="s">
        <v>24</v>
      </c>
      <c r="C18" s="9">
        <f>-'Fane 4.2. Gen. krav - anlæg'!G43</f>
        <v>0</v>
      </c>
      <c r="D18" s="8" t="s">
        <v>3</v>
      </c>
      <c r="E18" s="1"/>
    </row>
    <row r="19" spans="1:5" ht="17.25" customHeight="1" x14ac:dyDescent="0.25">
      <c r="A19" s="1"/>
      <c r="B19" s="47" t="s">
        <v>19</v>
      </c>
      <c r="C19" s="10">
        <f>SUM(C8,C9:C18)</f>
        <v>12965373.180004375</v>
      </c>
      <c r="D19" s="11" t="s">
        <v>3</v>
      </c>
      <c r="E19" s="1"/>
    </row>
    <row r="20" spans="1:5" ht="15" customHeight="1" x14ac:dyDescent="0.25">
      <c r="A20" s="1"/>
      <c r="B20" s="63" t="s">
        <v>11</v>
      </c>
      <c r="C20" s="64"/>
      <c r="D20" s="19"/>
      <c r="E20" s="1"/>
    </row>
    <row r="21" spans="1:5" ht="15" customHeight="1" x14ac:dyDescent="0.25">
      <c r="A21" s="1"/>
      <c r="B21" s="65" t="s">
        <v>11</v>
      </c>
      <c r="C21" s="10">
        <f>'Fane 6. Ikke-påvirkelige omk.'!C14</f>
        <v>5684767.6769798407</v>
      </c>
      <c r="D21" s="11" t="s">
        <v>3</v>
      </c>
      <c r="E21" s="1"/>
    </row>
    <row r="22" spans="1:5" ht="15" customHeight="1" x14ac:dyDescent="0.25">
      <c r="A22" s="1"/>
      <c r="B22" s="63" t="s">
        <v>80</v>
      </c>
      <c r="C22" s="64"/>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47" t="s">
        <v>81</v>
      </c>
      <c r="C27" s="46">
        <f>SUM(C23:C26)</f>
        <v>0</v>
      </c>
      <c r="D27" s="11" t="s">
        <v>3</v>
      </c>
      <c r="E27" s="1"/>
    </row>
    <row r="28" spans="1:5" ht="15" customHeight="1" x14ac:dyDescent="0.25">
      <c r="A28" s="1"/>
      <c r="B28" s="25" t="s">
        <v>128</v>
      </c>
      <c r="C28" s="64"/>
      <c r="D28" s="19"/>
      <c r="E28" s="1"/>
    </row>
    <row r="29" spans="1:5" x14ac:dyDescent="0.25">
      <c r="A29" s="1"/>
      <c r="B29" s="76" t="s">
        <v>129</v>
      </c>
      <c r="C29" s="10">
        <f>'Fane 7. Kontrol af ØR2021'!E31</f>
        <v>-172526.6819983348</v>
      </c>
      <c r="D29" s="11" t="s">
        <v>3</v>
      </c>
      <c r="E29" s="1"/>
    </row>
    <row r="30" spans="1:5" x14ac:dyDescent="0.25">
      <c r="A30" s="1"/>
      <c r="B30" s="25" t="s">
        <v>153</v>
      </c>
      <c r="C30" s="64"/>
      <c r="D30" s="19"/>
      <c r="E30" s="1"/>
    </row>
    <row r="31" spans="1:5" x14ac:dyDescent="0.25">
      <c r="A31" s="1"/>
      <c r="B31" s="76" t="s">
        <v>154</v>
      </c>
      <c r="C31" s="10">
        <f>'Fane 8. Skattesagen'!G12</f>
        <v>0</v>
      </c>
      <c r="D31" s="11" t="s">
        <v>3</v>
      </c>
      <c r="E31" s="1"/>
    </row>
    <row r="32" spans="1:5" x14ac:dyDescent="0.25">
      <c r="A32" s="1"/>
      <c r="B32" s="63" t="s">
        <v>84</v>
      </c>
      <c r="C32" s="34">
        <f>SUM(C19,C21,C27,C29,C31)</f>
        <v>18477614.174985882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2LMlpb7UphSr+GPlwDULBMP9xhsudq31qYFwTioh6nY3MOk1xszJGix9jPklDSpXzU7o7nQh98JWlBgzYVU4A==" saltValue="WUjbvLjCDcY1aqZp2+8uq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166</v>
      </c>
      <c r="C3" s="98"/>
      <c r="D3" s="98"/>
      <c r="E3" s="1"/>
    </row>
    <row r="4" spans="1:5" ht="15" customHeight="1" x14ac:dyDescent="0.25">
      <c r="A4" s="1"/>
      <c r="B4" s="98"/>
      <c r="C4" s="98"/>
      <c r="D4" s="98"/>
      <c r="E4" s="1"/>
    </row>
    <row r="5" spans="1:5" x14ac:dyDescent="0.25">
      <c r="A5" s="1"/>
      <c r="B5" s="99"/>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117</v>
      </c>
      <c r="C8" s="7">
        <f>'Fane 2.1. Økonomisk ramme 2023'!C19</f>
        <v>12965373.180004375</v>
      </c>
      <c r="D8" s="8" t="s">
        <v>3</v>
      </c>
      <c r="E8" s="1"/>
    </row>
    <row r="9" spans="1:5" ht="15" customHeight="1" x14ac:dyDescent="0.25">
      <c r="A9" s="1"/>
      <c r="B9" s="60" t="s">
        <v>17</v>
      </c>
      <c r="C9" s="9">
        <f>SUM(C8:C8)*'Fane 13. Nøgletal'!C15</f>
        <v>461567.28520815575</v>
      </c>
      <c r="D9" s="8" t="s">
        <v>3</v>
      </c>
      <c r="E9" s="1"/>
    </row>
    <row r="10" spans="1:5" ht="15" customHeight="1" x14ac:dyDescent="0.25">
      <c r="A10" s="1"/>
      <c r="B10" s="60" t="s">
        <v>9</v>
      </c>
      <c r="C10" s="9">
        <f>-SUM(C8:C9)*'Fane 5. Individuelt eff. krav'!G9</f>
        <v>-268538.80930425064</v>
      </c>
      <c r="D10" s="8" t="s">
        <v>3</v>
      </c>
      <c r="E10" s="1"/>
    </row>
    <row r="11" spans="1:5" ht="15" customHeight="1" x14ac:dyDescent="0.25">
      <c r="A11" s="1"/>
      <c r="B11" s="60" t="s">
        <v>23</v>
      </c>
      <c r="C11" s="9">
        <f>-'Fane 4.1. Gen. krav - drift'!G48</f>
        <v>-136569.26877994882</v>
      </c>
      <c r="D11" s="8" t="s">
        <v>3</v>
      </c>
      <c r="E11" s="1"/>
    </row>
    <row r="12" spans="1:5" ht="15" customHeight="1" x14ac:dyDescent="0.25">
      <c r="A12" s="1"/>
      <c r="B12" s="60" t="s">
        <v>24</v>
      </c>
      <c r="C12" s="9">
        <f>-'Fane 4.2. Gen. krav - anlæg'!G48</f>
        <v>0</v>
      </c>
      <c r="D12" s="8" t="s">
        <v>3</v>
      </c>
      <c r="E12" s="1"/>
    </row>
    <row r="13" spans="1:5" ht="15" customHeight="1" x14ac:dyDescent="0.25">
      <c r="A13" s="1"/>
      <c r="B13" s="32" t="s">
        <v>19</v>
      </c>
      <c r="C13" s="10">
        <f>SUM(C8:C12)</f>
        <v>13021832.387128333</v>
      </c>
      <c r="D13" s="11" t="s">
        <v>3</v>
      </c>
      <c r="E13" s="1"/>
    </row>
    <row r="14" spans="1:5" x14ac:dyDescent="0.25">
      <c r="A14" s="1"/>
      <c r="B14" s="63" t="s">
        <v>11</v>
      </c>
      <c r="C14" s="64"/>
      <c r="D14" s="19"/>
      <c r="E14" s="1"/>
    </row>
    <row r="15" spans="1:5" ht="15" customHeight="1" x14ac:dyDescent="0.25">
      <c r="A15" s="1"/>
      <c r="B15" s="65" t="s">
        <v>11</v>
      </c>
      <c r="C15" s="10">
        <f>'Fane 6. Ikke-påvirkelige omk.'!C14*(1+'Fane 13. Nøgletal'!C15)</f>
        <v>5887145.4062803239</v>
      </c>
      <c r="D15" s="11" t="s">
        <v>3</v>
      </c>
      <c r="E15" s="1"/>
    </row>
    <row r="16" spans="1:5" x14ac:dyDescent="0.25">
      <c r="A16" s="1"/>
      <c r="B16" s="25" t="s">
        <v>128</v>
      </c>
      <c r="C16" s="64"/>
      <c r="D16" s="19"/>
      <c r="E16" s="1"/>
    </row>
    <row r="17" spans="1:5" ht="15" customHeight="1" x14ac:dyDescent="0.25">
      <c r="A17" s="1"/>
      <c r="B17" s="76" t="s">
        <v>129</v>
      </c>
      <c r="C17" s="10">
        <f>'Fane 7. Kontrol af ØR2021'!E31</f>
        <v>-172526.6819983348</v>
      </c>
      <c r="D17" s="11" t="s">
        <v>3</v>
      </c>
      <c r="E17" s="1"/>
    </row>
    <row r="18" spans="1:5" x14ac:dyDescent="0.25">
      <c r="A18" s="1"/>
      <c r="B18" s="25" t="s">
        <v>153</v>
      </c>
      <c r="C18" s="64"/>
      <c r="D18" s="19"/>
      <c r="E18" s="1"/>
    </row>
    <row r="19" spans="1:5" x14ac:dyDescent="0.25">
      <c r="A19" s="1"/>
      <c r="B19" s="76" t="s">
        <v>154</v>
      </c>
      <c r="C19" s="10">
        <f>'Fane 8. Skattesagen'!G13</f>
        <v>0</v>
      </c>
      <c r="D19" s="11" t="s">
        <v>3</v>
      </c>
      <c r="E19" s="1"/>
    </row>
    <row r="20" spans="1:5" x14ac:dyDescent="0.25">
      <c r="A20" s="1"/>
      <c r="B20" s="63" t="s">
        <v>138</v>
      </c>
      <c r="C20" s="12">
        <f>SUM(C13,C15,C17,C19)</f>
        <v>18736451.11141032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sheetData>
  <sheetProtection algorithmName="SHA-512" hashValue="4clsStrkacMipfyRZ1s2lHy98rgf1EXE6uwOUc7eASLqjvVHe7jMMCbRS7mh7v5nRPjSQn727h9/D/HHeMqEfw==" saltValue="PtpnKt+CFkf8agX1QmxgW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167</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139</v>
      </c>
      <c r="C8" s="7">
        <f>'Fane 2.2. Økonomisk ramme 2024'!C13</f>
        <v>13021832.387128333</v>
      </c>
      <c r="D8" s="8" t="s">
        <v>3</v>
      </c>
      <c r="E8" s="1"/>
    </row>
    <row r="9" spans="1:5" ht="15" customHeight="1" x14ac:dyDescent="0.25">
      <c r="A9" s="1"/>
      <c r="B9" s="60" t="s">
        <v>17</v>
      </c>
      <c r="C9" s="9">
        <f>SUM(C8:C8)*'Fane 13. Nøgletal'!C15</f>
        <v>463577.23298176861</v>
      </c>
      <c r="D9" s="8" t="s">
        <v>3</v>
      </c>
      <c r="E9" s="1"/>
    </row>
    <row r="10" spans="1:5" ht="15" customHeight="1" x14ac:dyDescent="0.25">
      <c r="A10" s="1"/>
      <c r="B10" s="60" t="s">
        <v>9</v>
      </c>
      <c r="C10" s="9">
        <f>-SUM(C8:C9)*'Fane 5. Individuelt eff. krav'!G9</f>
        <v>-269708.19240220205</v>
      </c>
      <c r="D10" s="8" t="s">
        <v>3</v>
      </c>
      <c r="E10" s="1"/>
    </row>
    <row r="11" spans="1:5" ht="15" customHeight="1" x14ac:dyDescent="0.25">
      <c r="A11" s="1"/>
      <c r="B11" s="60" t="s">
        <v>23</v>
      </c>
      <c r="C11" s="9">
        <f>-'Fane 4.1. Gen. krav - drift'!G53</f>
        <v>-138602.51205354469</v>
      </c>
      <c r="D11" s="8" t="s">
        <v>3</v>
      </c>
      <c r="E11" s="1"/>
    </row>
    <row r="12" spans="1:5" ht="15" customHeight="1" x14ac:dyDescent="0.25">
      <c r="A12" s="1"/>
      <c r="B12" s="60" t="s">
        <v>24</v>
      </c>
      <c r="C12" s="27">
        <f>-'Fane 4.2. Gen. krav - anlæg'!G53</f>
        <v>0</v>
      </c>
      <c r="D12" s="8" t="s">
        <v>3</v>
      </c>
      <c r="E12" s="1"/>
    </row>
    <row r="13" spans="1:5" x14ac:dyDescent="0.25">
      <c r="A13" s="1"/>
      <c r="B13" s="32" t="s">
        <v>19</v>
      </c>
      <c r="C13" s="10">
        <f>SUM(C8:C12)</f>
        <v>13077098.915654354</v>
      </c>
      <c r="D13" s="11" t="s">
        <v>3</v>
      </c>
      <c r="E13" s="1"/>
    </row>
    <row r="14" spans="1:5" x14ac:dyDescent="0.25">
      <c r="A14" s="1"/>
      <c r="B14" s="63" t="s">
        <v>11</v>
      </c>
      <c r="C14" s="64"/>
      <c r="D14" s="19"/>
      <c r="E14" s="1"/>
    </row>
    <row r="15" spans="1:5" ht="15" customHeight="1" x14ac:dyDescent="0.25">
      <c r="A15" s="1"/>
      <c r="B15" s="65" t="s">
        <v>11</v>
      </c>
      <c r="C15" s="10">
        <f>'Fane 6. Ikke-påvirkelige omk.'!C14*(1+'Fane 13. Nøgletal'!C15)^2</f>
        <v>6096727.7827439029</v>
      </c>
      <c r="D15" s="11" t="s">
        <v>3</v>
      </c>
      <c r="E15" s="1"/>
    </row>
    <row r="16" spans="1:5" x14ac:dyDescent="0.25">
      <c r="A16" s="1"/>
      <c r="B16" s="63" t="s">
        <v>128</v>
      </c>
      <c r="C16" s="64"/>
      <c r="D16" s="19"/>
      <c r="E16" s="1"/>
    </row>
    <row r="17" spans="1:5" x14ac:dyDescent="0.25">
      <c r="A17" s="1"/>
      <c r="B17" s="65" t="s">
        <v>129</v>
      </c>
      <c r="C17" s="10">
        <v>0</v>
      </c>
      <c r="D17" s="11" t="s">
        <v>3</v>
      </c>
      <c r="E17" s="1"/>
    </row>
    <row r="18" spans="1:5" ht="15" customHeight="1" x14ac:dyDescent="0.25">
      <c r="A18" s="1"/>
      <c r="B18" s="25" t="s">
        <v>153</v>
      </c>
      <c r="C18" s="64"/>
      <c r="D18" s="19"/>
      <c r="E18" s="1"/>
    </row>
    <row r="19" spans="1:5" ht="15" customHeight="1" x14ac:dyDescent="0.25">
      <c r="A19" s="1"/>
      <c r="B19" s="76" t="s">
        <v>154</v>
      </c>
      <c r="C19" s="10">
        <f>'Fane 8. Skattesagen'!G14</f>
        <v>0</v>
      </c>
      <c r="D19" s="11" t="s">
        <v>3</v>
      </c>
      <c r="E19" s="1"/>
    </row>
    <row r="20" spans="1:5" x14ac:dyDescent="0.25">
      <c r="A20" s="1"/>
      <c r="B20" s="63" t="s">
        <v>140</v>
      </c>
      <c r="C20" s="12">
        <f>SUM(C13,C15,C17,C19)</f>
        <v>19173826.698398255</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S0sJ5J641drbgqNwARFpkBRRzf8wqPCgD/Ru7nVHD4f6BhgmNo9H0eMZPtLAuxuSaV12Nm0WLdkvLj0iKS5dew==" saltValue="GqYoSJoXcnCGkr6CVH98k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8" t="s">
        <v>168</v>
      </c>
      <c r="C3" s="98"/>
      <c r="D3" s="98"/>
      <c r="E3" s="1"/>
    </row>
    <row r="4" spans="1:5" ht="15" customHeight="1" x14ac:dyDescent="0.25">
      <c r="A4" s="1"/>
      <c r="B4" s="98"/>
      <c r="C4" s="98"/>
      <c r="D4" s="98"/>
      <c r="E4" s="1"/>
    </row>
    <row r="5" spans="1:5" x14ac:dyDescent="0.25">
      <c r="A5" s="1"/>
      <c r="B5" s="99" t="s">
        <v>20</v>
      </c>
      <c r="C5" s="99"/>
      <c r="D5" s="99"/>
      <c r="E5" s="1"/>
    </row>
    <row r="6" spans="1:5" x14ac:dyDescent="0.25">
      <c r="A6" s="1"/>
      <c r="B6" s="1"/>
      <c r="C6" s="1"/>
      <c r="D6" s="1"/>
      <c r="E6" s="1"/>
    </row>
    <row r="7" spans="1:5" x14ac:dyDescent="0.25">
      <c r="A7" s="1"/>
      <c r="B7" s="63" t="s">
        <v>12</v>
      </c>
      <c r="C7" s="64"/>
      <c r="D7" s="19"/>
      <c r="E7" s="1"/>
    </row>
    <row r="8" spans="1:5" ht="15" customHeight="1" x14ac:dyDescent="0.25">
      <c r="A8" s="1"/>
      <c r="B8" s="71" t="s">
        <v>169</v>
      </c>
      <c r="C8" s="7">
        <f>'Fane 2.3. Økonomisk ramme 2025'!C13</f>
        <v>13077098.915654354</v>
      </c>
      <c r="D8" s="8" t="s">
        <v>3</v>
      </c>
      <c r="E8" s="1"/>
    </row>
    <row r="9" spans="1:5" ht="15" customHeight="1" x14ac:dyDescent="0.25">
      <c r="A9" s="1"/>
      <c r="B9" s="60" t="s">
        <v>17</v>
      </c>
      <c r="C9" s="9">
        <f>SUM(C8:C8)*'Fane 13. Nøgletal'!C15</f>
        <v>465544.72139729501</v>
      </c>
      <c r="D9" s="8" t="s">
        <v>3</v>
      </c>
      <c r="E9" s="1"/>
    </row>
    <row r="10" spans="1:5" ht="15" customHeight="1" x14ac:dyDescent="0.25">
      <c r="A10" s="1"/>
      <c r="B10" s="60" t="s">
        <v>9</v>
      </c>
      <c r="C10" s="9">
        <f>-SUM(C8:C9)*'Fane 5. Individuelt eff. krav'!G9</f>
        <v>-270852.87274103297</v>
      </c>
      <c r="D10" s="8" t="s">
        <v>3</v>
      </c>
      <c r="E10" s="1"/>
    </row>
    <row r="11" spans="1:5" ht="15" customHeight="1" x14ac:dyDescent="0.25">
      <c r="A11" s="1"/>
      <c r="B11" s="60" t="s">
        <v>23</v>
      </c>
      <c r="C11" s="9">
        <f>-'Fane 4.1. Gen. krav - drift'!G58</f>
        <v>-140666.02625299786</v>
      </c>
      <c r="D11" s="8" t="s">
        <v>3</v>
      </c>
      <c r="E11" s="1"/>
    </row>
    <row r="12" spans="1:5" ht="15" customHeight="1" x14ac:dyDescent="0.25">
      <c r="A12" s="1"/>
      <c r="B12" s="60" t="s">
        <v>24</v>
      </c>
      <c r="C12" s="9">
        <f>-'Fane 4.2. Gen. krav - anlæg'!G58</f>
        <v>0</v>
      </c>
      <c r="D12" s="8" t="s">
        <v>3</v>
      </c>
      <c r="E12" s="1"/>
    </row>
    <row r="13" spans="1:5" x14ac:dyDescent="0.25">
      <c r="A13" s="1"/>
      <c r="B13" s="32" t="s">
        <v>19</v>
      </c>
      <c r="C13" s="10">
        <f>SUM(C8:C12)</f>
        <v>13131124.738057619</v>
      </c>
      <c r="D13" s="11" t="s">
        <v>3</v>
      </c>
      <c r="E13" s="1"/>
    </row>
    <row r="14" spans="1:5" x14ac:dyDescent="0.25">
      <c r="A14" s="1"/>
      <c r="B14" s="63" t="s">
        <v>11</v>
      </c>
      <c r="C14" s="64"/>
      <c r="D14" s="19"/>
      <c r="E14" s="1"/>
    </row>
    <row r="15" spans="1:5" ht="15" customHeight="1" x14ac:dyDescent="0.25">
      <c r="A15" s="1"/>
      <c r="B15" s="65" t="s">
        <v>11</v>
      </c>
      <c r="C15" s="10">
        <f>'Fane 6. Ikke-påvirkelige omk.'!C14*(1+'Fane 13. Nøgletal'!C15)^3</f>
        <v>6313771.2918095868</v>
      </c>
      <c r="D15" s="11" t="s">
        <v>3</v>
      </c>
      <c r="E15" s="1"/>
    </row>
    <row r="16" spans="1:5" x14ac:dyDescent="0.25">
      <c r="A16" s="1"/>
      <c r="B16" s="63" t="s">
        <v>128</v>
      </c>
      <c r="C16" s="64"/>
      <c r="D16" s="19"/>
      <c r="E16" s="1"/>
    </row>
    <row r="17" spans="1:5" x14ac:dyDescent="0.25">
      <c r="A17" s="1"/>
      <c r="B17" s="65" t="s">
        <v>129</v>
      </c>
      <c r="C17" s="10">
        <v>0</v>
      </c>
      <c r="D17" s="11" t="s">
        <v>3</v>
      </c>
      <c r="E17" s="1"/>
    </row>
    <row r="18" spans="1:5" x14ac:dyDescent="0.25">
      <c r="A18" s="1"/>
      <c r="B18" s="25" t="s">
        <v>153</v>
      </c>
      <c r="C18" s="64"/>
      <c r="D18" s="19"/>
      <c r="E18" s="1"/>
    </row>
    <row r="19" spans="1:5" x14ac:dyDescent="0.25">
      <c r="A19" s="1"/>
      <c r="B19" s="76" t="s">
        <v>154</v>
      </c>
      <c r="C19" s="10">
        <f>'Fane 8. Skattesagen'!G15</f>
        <v>0</v>
      </c>
      <c r="D19" s="11" t="s">
        <v>3</v>
      </c>
      <c r="E19" s="1"/>
    </row>
    <row r="20" spans="1:5" x14ac:dyDescent="0.25">
      <c r="A20" s="1"/>
      <c r="B20" s="63" t="s">
        <v>170</v>
      </c>
      <c r="C20" s="12">
        <f>SUM(C13,C15,C17,C19)</f>
        <v>19444896.029867206</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XU86LQqqAnJ7G8z8nHeeoKBwLSBYASe5ASbg8kdKezSrMc8faUcn+DGW6nOKLaeysmWbFx/R3fsr6lFNI//10w==" saltValue="KS3Y4EhHVDfhUuawjZtoF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2" width="51.7109375" style="2" customWidth="1"/>
    <col min="3" max="3" width="9.140625" style="2" hidden="1" customWidth="1"/>
    <col min="4" max="4" width="39.42578125" style="2" hidden="1" customWidth="1"/>
    <col min="5" max="5" width="11.140625" style="2" customWidth="1"/>
    <col min="6" max="6" width="4.5703125" style="2" customWidth="1"/>
    <col min="7" max="7" width="8.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0" t="s">
        <v>171</v>
      </c>
      <c r="C3" s="120"/>
      <c r="D3" s="120"/>
      <c r="E3" s="120"/>
      <c r="F3" s="120"/>
      <c r="G3" s="1"/>
    </row>
    <row r="4" spans="1:7" ht="29.25" customHeight="1" x14ac:dyDescent="0.25">
      <c r="A4" s="1"/>
      <c r="B4" s="120"/>
      <c r="C4" s="120"/>
      <c r="D4" s="120"/>
      <c r="E4" s="120"/>
      <c r="F4" s="12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3" t="s">
        <v>172</v>
      </c>
      <c r="C8" s="64"/>
      <c r="D8" s="64"/>
      <c r="E8" s="64"/>
      <c r="F8" s="19"/>
      <c r="G8" s="1"/>
    </row>
    <row r="9" spans="1:7" x14ac:dyDescent="0.25">
      <c r="A9" s="1"/>
      <c r="B9" s="121" t="s">
        <v>22</v>
      </c>
      <c r="C9" s="122"/>
      <c r="D9" s="123"/>
      <c r="E9" s="7">
        <v>12568366.583415307</v>
      </c>
      <c r="F9" s="8" t="s">
        <v>3</v>
      </c>
      <c r="G9" s="1"/>
    </row>
    <row r="10" spans="1:7" ht="15" customHeight="1" x14ac:dyDescent="0.25">
      <c r="A10" s="1"/>
      <c r="B10" s="103" t="s">
        <v>35</v>
      </c>
      <c r="C10" s="104"/>
      <c r="D10" s="105"/>
      <c r="E10" s="9">
        <v>359131.23500000004</v>
      </c>
      <c r="F10" s="8" t="s">
        <v>3</v>
      </c>
      <c r="G10" s="1"/>
    </row>
    <row r="11" spans="1:7" ht="15" customHeight="1" x14ac:dyDescent="0.25">
      <c r="A11" s="1"/>
      <c r="B11" s="103" t="s">
        <v>36</v>
      </c>
      <c r="C11" s="104"/>
      <c r="D11" s="105"/>
      <c r="E11" s="9">
        <v>27294.776500000004</v>
      </c>
      <c r="F11" s="8" t="s">
        <v>3</v>
      </c>
      <c r="G11" s="1"/>
    </row>
    <row r="12" spans="1:7" x14ac:dyDescent="0.25">
      <c r="A12" s="1"/>
      <c r="B12" s="103" t="s">
        <v>26</v>
      </c>
      <c r="C12" s="104"/>
      <c r="D12" s="105"/>
      <c r="E12" s="9">
        <v>0</v>
      </c>
      <c r="F12" s="8" t="s">
        <v>3</v>
      </c>
      <c r="G12" s="1"/>
    </row>
    <row r="13" spans="1:7" x14ac:dyDescent="0.25">
      <c r="A13" s="1"/>
      <c r="B13" s="103" t="s">
        <v>25</v>
      </c>
      <c r="C13" s="104"/>
      <c r="D13" s="105"/>
      <c r="E13" s="9">
        <v>0</v>
      </c>
      <c r="F13" s="8" t="s">
        <v>3</v>
      </c>
      <c r="G13" s="1"/>
    </row>
    <row r="14" spans="1:7" x14ac:dyDescent="0.25">
      <c r="A14" s="1"/>
      <c r="B14" s="103" t="s">
        <v>114</v>
      </c>
      <c r="C14" s="104"/>
      <c r="D14" s="105"/>
      <c r="E14" s="9">
        <v>0</v>
      </c>
      <c r="F14" s="8" t="s">
        <v>3</v>
      </c>
      <c r="G14" s="1"/>
    </row>
    <row r="15" spans="1:7" x14ac:dyDescent="0.25">
      <c r="A15" s="1"/>
      <c r="B15" s="103" t="s">
        <v>115</v>
      </c>
      <c r="C15" s="104"/>
      <c r="D15" s="105"/>
      <c r="E15" s="9">
        <v>0</v>
      </c>
      <c r="F15" s="8" t="s">
        <v>3</v>
      </c>
      <c r="G15" s="1"/>
    </row>
    <row r="16" spans="1:7" x14ac:dyDescent="0.25">
      <c r="A16" s="1"/>
      <c r="B16" s="103" t="s">
        <v>17</v>
      </c>
      <c r="C16" s="104"/>
      <c r="D16" s="105"/>
      <c r="E16" s="9">
        <v>154609.27815561675</v>
      </c>
      <c r="F16" s="8" t="s">
        <v>3</v>
      </c>
      <c r="G16" s="30"/>
    </row>
    <row r="17" spans="1:7" x14ac:dyDescent="0.25">
      <c r="A17" s="1"/>
      <c r="B17" s="103" t="s">
        <v>9</v>
      </c>
      <c r="C17" s="104"/>
      <c r="D17" s="105"/>
      <c r="E17" s="9">
        <v>-175319.95527416334</v>
      </c>
      <c r="F17" s="8" t="s">
        <v>3</v>
      </c>
      <c r="G17" s="1"/>
    </row>
    <row r="18" spans="1:7" x14ac:dyDescent="0.25">
      <c r="A18" s="1"/>
      <c r="B18" s="103" t="s">
        <v>23</v>
      </c>
      <c r="C18" s="104"/>
      <c r="D18" s="105"/>
      <c r="E18" s="9">
        <v>-127527.04383027153</v>
      </c>
      <c r="F18" s="8" t="s">
        <v>3</v>
      </c>
      <c r="G18" s="1"/>
    </row>
    <row r="19" spans="1:7" x14ac:dyDescent="0.25">
      <c r="A19" s="1"/>
      <c r="B19" s="103" t="s">
        <v>24</v>
      </c>
      <c r="C19" s="104"/>
      <c r="D19" s="105"/>
      <c r="E19" s="9">
        <v>-200594.70905183748</v>
      </c>
      <c r="F19" s="8" t="s">
        <v>3</v>
      </c>
      <c r="G19" s="1"/>
    </row>
    <row r="20" spans="1:7" x14ac:dyDescent="0.25">
      <c r="A20" s="1"/>
      <c r="B20" s="106" t="s">
        <v>19</v>
      </c>
      <c r="C20" s="107"/>
      <c r="D20" s="108"/>
      <c r="E20" s="31">
        <f>SUM(E9:E19)</f>
        <v>12605960.164914651</v>
      </c>
      <c r="F20" s="33" t="s">
        <v>3</v>
      </c>
      <c r="G20" s="1"/>
    </row>
    <row r="21" spans="1:7" x14ac:dyDescent="0.25">
      <c r="A21" s="1"/>
      <c r="B21" s="63" t="s">
        <v>11</v>
      </c>
      <c r="C21" s="64"/>
      <c r="D21" s="64"/>
      <c r="E21" s="64"/>
      <c r="F21" s="19"/>
      <c r="G21" s="1"/>
    </row>
    <row r="22" spans="1:7" x14ac:dyDescent="0.25">
      <c r="A22" s="1"/>
      <c r="B22" s="114" t="s">
        <v>11</v>
      </c>
      <c r="C22" s="115"/>
      <c r="D22" s="116"/>
      <c r="E22" s="10">
        <v>5510573.5438308707</v>
      </c>
      <c r="F22" s="11" t="s">
        <v>3</v>
      </c>
      <c r="G22" s="1"/>
    </row>
    <row r="23" spans="1:7" ht="15" customHeight="1" x14ac:dyDescent="0.25">
      <c r="A23" s="1"/>
      <c r="B23" s="112" t="s">
        <v>80</v>
      </c>
      <c r="C23" s="113"/>
      <c r="D23" s="113"/>
      <c r="E23" s="64"/>
      <c r="F23" s="64"/>
      <c r="G23" s="1"/>
    </row>
    <row r="24" spans="1:7" ht="14.25" customHeight="1" x14ac:dyDescent="0.25">
      <c r="A24" s="1"/>
      <c r="B24" s="100" t="s">
        <v>76</v>
      </c>
      <c r="C24" s="101"/>
      <c r="D24" s="102"/>
      <c r="E24" s="9">
        <v>0</v>
      </c>
      <c r="F24" s="8" t="s">
        <v>3</v>
      </c>
      <c r="G24" s="1"/>
    </row>
    <row r="25" spans="1:7" ht="14.25" customHeight="1" x14ac:dyDescent="0.25">
      <c r="A25" s="1"/>
      <c r="B25" s="100" t="s">
        <v>77</v>
      </c>
      <c r="C25" s="101"/>
      <c r="D25" s="102"/>
      <c r="E25" s="9">
        <v>0</v>
      </c>
      <c r="F25" s="8" t="s">
        <v>3</v>
      </c>
      <c r="G25" s="1"/>
    </row>
    <row r="26" spans="1:7" x14ac:dyDescent="0.25">
      <c r="A26" s="1"/>
      <c r="B26" s="109" t="s">
        <v>81</v>
      </c>
      <c r="C26" s="110"/>
      <c r="D26" s="110"/>
      <c r="E26" s="10">
        <v>0</v>
      </c>
      <c r="F26" s="11" t="s">
        <v>3</v>
      </c>
      <c r="G26" s="1"/>
    </row>
    <row r="27" spans="1:7" x14ac:dyDescent="0.25">
      <c r="A27" s="1"/>
      <c r="B27" s="63" t="s">
        <v>128</v>
      </c>
      <c r="C27" s="64"/>
      <c r="D27" s="64"/>
      <c r="E27" s="64"/>
      <c r="F27" s="19"/>
      <c r="G27" s="1"/>
    </row>
    <row r="28" spans="1:7" ht="15" customHeight="1" x14ac:dyDescent="0.25">
      <c r="A28" s="1"/>
      <c r="B28" s="109" t="s">
        <v>129</v>
      </c>
      <c r="C28" s="110"/>
      <c r="D28" s="111"/>
      <c r="E28" s="10">
        <v>-194843.86084264144</v>
      </c>
      <c r="F28" s="11" t="s">
        <v>3</v>
      </c>
      <c r="G28" s="1"/>
    </row>
    <row r="29" spans="1:7" x14ac:dyDescent="0.25">
      <c r="A29" s="1"/>
      <c r="B29" s="63" t="s">
        <v>159</v>
      </c>
      <c r="C29" s="64"/>
      <c r="D29" s="64"/>
      <c r="E29" s="64"/>
      <c r="F29" s="19"/>
      <c r="G29" s="1"/>
    </row>
    <row r="30" spans="1:7" ht="15.75" customHeight="1" x14ac:dyDescent="0.25">
      <c r="A30" s="1"/>
      <c r="B30" s="114" t="s">
        <v>160</v>
      </c>
      <c r="C30" s="115"/>
      <c r="D30" s="116"/>
      <c r="E30" s="10">
        <v>0</v>
      </c>
      <c r="F30" s="11" t="s">
        <v>3</v>
      </c>
      <c r="G30" s="1"/>
    </row>
    <row r="31" spans="1:7" ht="15.75" customHeight="1" x14ac:dyDescent="0.25">
      <c r="A31" s="1"/>
      <c r="B31" s="117" t="s">
        <v>153</v>
      </c>
      <c r="C31" s="118"/>
      <c r="D31" s="118"/>
      <c r="E31" s="118"/>
      <c r="F31" s="119"/>
      <c r="G31" s="1"/>
    </row>
    <row r="32" spans="1:7" ht="15.75" customHeight="1" x14ac:dyDescent="0.25">
      <c r="A32" s="1"/>
      <c r="B32" s="76" t="s">
        <v>154</v>
      </c>
      <c r="C32" s="10"/>
      <c r="D32" s="11"/>
      <c r="E32" s="10">
        <f>'Fane 8. Skattesagen'!G11</f>
        <v>0</v>
      </c>
      <c r="F32" s="11" t="s">
        <v>3</v>
      </c>
      <c r="G32" s="1"/>
    </row>
    <row r="33" spans="1:7" x14ac:dyDescent="0.25">
      <c r="A33" s="1"/>
      <c r="B33" s="78" t="s">
        <v>27</v>
      </c>
      <c r="C33" s="79"/>
      <c r="D33" s="79"/>
      <c r="E33" s="12">
        <f>E20+E22+E26+E28+E30+E32</f>
        <v>17921689.847902879</v>
      </c>
      <c r="F33" s="13" t="s">
        <v>3</v>
      </c>
      <c r="G33" s="1"/>
    </row>
    <row r="34" spans="1:7" ht="27.75" customHeight="1" x14ac:dyDescent="0.25">
      <c r="A34" s="1"/>
      <c r="B34" s="100" t="s">
        <v>173</v>
      </c>
      <c r="C34" s="101"/>
      <c r="D34" s="101"/>
      <c r="E34" s="101"/>
      <c r="F34" s="10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4rTWaw6LZ+Gt6iHeHFRSwRZE/GpZZOr9RW34Um0J8QWXGGWXae+eMEK+DkwMkZFb5EtRE3KxpQFOni+0uo4ddA==" saltValue="aoyTlvVnxDjK0JH8cfLKDw=="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5"/>
  <sheetViews>
    <sheetView showGridLines="0" view="pageLayout" zoomScaleNormal="100" workbookViewId="0"/>
  </sheetViews>
  <sheetFormatPr defaultColWidth="9.140625" defaultRowHeight="15" x14ac:dyDescent="0.25"/>
  <cols>
    <col min="1" max="1" width="6.140625" style="2" customWidth="1"/>
    <col min="2" max="5" width="9.140625" style="2"/>
    <col min="6" max="6" width="18.85546875" style="2" customWidth="1"/>
    <col min="7" max="7" width="13.42578125" style="39" customWidth="1"/>
    <col min="8" max="8" width="3.7109375" style="2" customWidth="1"/>
    <col min="9" max="9" width="6.7109375" style="2" customWidth="1"/>
    <col min="10" max="16384" width="9.140625" style="2"/>
  </cols>
  <sheetData>
    <row r="1" spans="1:9" ht="15" customHeight="1" x14ac:dyDescent="0.25">
      <c r="A1" s="1"/>
      <c r="B1" s="120" t="s">
        <v>98</v>
      </c>
      <c r="C1" s="120"/>
      <c r="D1" s="120"/>
      <c r="E1" s="120"/>
      <c r="F1" s="120"/>
      <c r="G1" s="120"/>
      <c r="H1" s="120"/>
      <c r="I1" s="1"/>
    </row>
    <row r="2" spans="1:9" ht="15" customHeight="1" x14ac:dyDescent="0.25">
      <c r="A2" s="1"/>
      <c r="B2" s="120"/>
      <c r="C2" s="120"/>
      <c r="D2" s="120"/>
      <c r="E2" s="120"/>
      <c r="F2" s="120"/>
      <c r="G2" s="120"/>
      <c r="H2" s="120"/>
      <c r="I2" s="1"/>
    </row>
    <row r="3" spans="1:9" ht="15" customHeight="1" x14ac:dyDescent="0.25">
      <c r="A3" s="1"/>
      <c r="B3" s="120"/>
      <c r="C3" s="120"/>
      <c r="D3" s="120"/>
      <c r="E3" s="120"/>
      <c r="F3" s="120"/>
      <c r="G3" s="120"/>
      <c r="H3" s="120"/>
      <c r="I3" s="1"/>
    </row>
    <row r="4" spans="1:9" x14ac:dyDescent="0.25">
      <c r="A4" s="1"/>
      <c r="B4" s="117" t="s">
        <v>49</v>
      </c>
      <c r="C4" s="118"/>
      <c r="D4" s="118"/>
      <c r="E4" s="118"/>
      <c r="F4" s="118"/>
      <c r="G4" s="118"/>
      <c r="H4" s="119"/>
      <c r="I4" s="1"/>
    </row>
    <row r="5" spans="1:9" x14ac:dyDescent="0.25">
      <c r="A5" s="1"/>
      <c r="B5" s="124" t="s">
        <v>38</v>
      </c>
      <c r="C5" s="125"/>
      <c r="D5" s="125"/>
      <c r="E5" s="125"/>
      <c r="F5" s="126"/>
      <c r="G5" s="54">
        <v>5404911</v>
      </c>
      <c r="H5" s="14" t="s">
        <v>3</v>
      </c>
      <c r="I5" s="1"/>
    </row>
    <row r="6" spans="1:9" x14ac:dyDescent="0.25">
      <c r="A6" s="1"/>
      <c r="B6" s="124" t="s">
        <v>39</v>
      </c>
      <c r="C6" s="125"/>
      <c r="D6" s="125"/>
      <c r="E6" s="125"/>
      <c r="F6" s="126"/>
      <c r="G6" s="54">
        <f>G5*'Fane 13. Nøgletal'!C31</f>
        <v>108098.22</v>
      </c>
      <c r="H6" s="14" t="s">
        <v>3</v>
      </c>
      <c r="I6" s="1"/>
    </row>
    <row r="7" spans="1:9" x14ac:dyDescent="0.25">
      <c r="A7" s="1"/>
      <c r="B7" s="63"/>
      <c r="C7" s="64"/>
      <c r="D7" s="64"/>
      <c r="E7" s="64"/>
      <c r="F7" s="64"/>
      <c r="G7" s="55"/>
      <c r="H7" s="19"/>
      <c r="I7" s="1"/>
    </row>
    <row r="8" spans="1:9" x14ac:dyDescent="0.25">
      <c r="A8" s="1"/>
      <c r="B8" s="1"/>
      <c r="C8" s="1"/>
      <c r="D8" s="1"/>
      <c r="E8" s="1"/>
      <c r="F8" s="1"/>
      <c r="G8" s="56"/>
      <c r="H8" s="1"/>
      <c r="I8" s="1"/>
    </row>
    <row r="9" spans="1:9" x14ac:dyDescent="0.25">
      <c r="A9" s="1"/>
      <c r="B9" s="117" t="s">
        <v>50</v>
      </c>
      <c r="C9" s="118"/>
      <c r="D9" s="118"/>
      <c r="E9" s="118"/>
      <c r="F9" s="118"/>
      <c r="G9" s="130"/>
      <c r="H9" s="119"/>
      <c r="I9" s="1"/>
    </row>
    <row r="10" spans="1:9" x14ac:dyDescent="0.25">
      <c r="A10" s="1"/>
      <c r="B10" s="124" t="s">
        <v>40</v>
      </c>
      <c r="C10" s="125"/>
      <c r="D10" s="125"/>
      <c r="E10" s="125"/>
      <c r="F10" s="126"/>
      <c r="G10" s="54">
        <f>(G5-G6)*(1+'Fane 13. Nøgletal'!C9)</f>
        <v>5364082.3023060001</v>
      </c>
      <c r="H10" s="14" t="s">
        <v>3</v>
      </c>
      <c r="I10" s="1"/>
    </row>
    <row r="11" spans="1:9" x14ac:dyDescent="0.25">
      <c r="A11" s="1"/>
      <c r="B11" s="127" t="s">
        <v>41</v>
      </c>
      <c r="C11" s="128"/>
      <c r="D11" s="128"/>
      <c r="E11" s="128"/>
      <c r="F11" s="129"/>
      <c r="G11" s="54">
        <v>0</v>
      </c>
      <c r="H11" s="14" t="s">
        <v>3</v>
      </c>
      <c r="I11" s="1"/>
    </row>
    <row r="12" spans="1:9" x14ac:dyDescent="0.25">
      <c r="A12" s="1"/>
      <c r="B12" s="124" t="s">
        <v>42</v>
      </c>
      <c r="C12" s="125"/>
      <c r="D12" s="125"/>
      <c r="E12" s="125"/>
      <c r="F12" s="126"/>
      <c r="G12" s="54">
        <f>(G10+G11)*'Fane 13. Nøgletal'!C31</f>
        <v>107281.64604612</v>
      </c>
      <c r="H12" s="14" t="s">
        <v>3</v>
      </c>
      <c r="I12" s="1"/>
    </row>
    <row r="13" spans="1:9" x14ac:dyDescent="0.25">
      <c r="A13" s="1"/>
      <c r="B13" s="63"/>
      <c r="C13" s="64"/>
      <c r="D13" s="64"/>
      <c r="E13" s="64"/>
      <c r="F13" s="64"/>
      <c r="G13" s="55"/>
      <c r="H13" s="19"/>
      <c r="I13" s="1"/>
    </row>
    <row r="14" spans="1:9" x14ac:dyDescent="0.25">
      <c r="A14" s="1"/>
      <c r="B14" s="1"/>
      <c r="C14" s="1"/>
      <c r="D14" s="1"/>
      <c r="E14" s="1"/>
      <c r="F14" s="1"/>
      <c r="G14" s="56"/>
      <c r="H14" s="1"/>
      <c r="I14" s="1"/>
    </row>
    <row r="15" spans="1:9" x14ac:dyDescent="0.25">
      <c r="A15" s="1"/>
      <c r="B15" s="117" t="s">
        <v>51</v>
      </c>
      <c r="C15" s="118"/>
      <c r="D15" s="118"/>
      <c r="E15" s="118"/>
      <c r="F15" s="118"/>
      <c r="G15" s="130"/>
      <c r="H15" s="119"/>
      <c r="I15" s="1"/>
    </row>
    <row r="16" spans="1:9" x14ac:dyDescent="0.25">
      <c r="A16" s="1"/>
      <c r="B16" s="124" t="s">
        <v>43</v>
      </c>
      <c r="C16" s="125"/>
      <c r="D16" s="125"/>
      <c r="E16" s="125"/>
      <c r="F16" s="126"/>
      <c r="G16" s="54">
        <f>(G10+G11-G12)*(1+'Fane 13. Nøgletal'!C11)</f>
        <v>5345640.5873506721</v>
      </c>
      <c r="H16" s="14" t="s">
        <v>3</v>
      </c>
      <c r="I16" s="1"/>
    </row>
    <row r="17" spans="1:9" x14ac:dyDescent="0.25">
      <c r="A17" s="1"/>
      <c r="B17" s="124" t="s">
        <v>108</v>
      </c>
      <c r="C17" s="125"/>
      <c r="D17" s="125"/>
      <c r="E17" s="125"/>
      <c r="F17" s="126"/>
      <c r="G17" s="54">
        <v>-307981.98159172566</v>
      </c>
      <c r="H17" s="14" t="s">
        <v>3</v>
      </c>
      <c r="I17" s="1"/>
    </row>
    <row r="18" spans="1:9" x14ac:dyDescent="0.25">
      <c r="A18" s="1"/>
      <c r="B18" s="127" t="s">
        <v>44</v>
      </c>
      <c r="C18" s="128"/>
      <c r="D18" s="128"/>
      <c r="E18" s="128"/>
      <c r="F18" s="129"/>
      <c r="G18" s="54">
        <v>0</v>
      </c>
      <c r="H18" s="14" t="s">
        <v>3</v>
      </c>
      <c r="I18" s="1"/>
    </row>
    <row r="19" spans="1:9" x14ac:dyDescent="0.25">
      <c r="A19" s="1"/>
      <c r="B19" s="124" t="s">
        <v>45</v>
      </c>
      <c r="C19" s="125"/>
      <c r="D19" s="125"/>
      <c r="E19" s="125"/>
      <c r="F19" s="126"/>
      <c r="G19" s="54">
        <f>SUM(G16:G18)*'Fane 13. Nøgletal'!C31</f>
        <v>100753.17211517892</v>
      </c>
      <c r="H19" s="14" t="s">
        <v>3</v>
      </c>
      <c r="I19" s="1"/>
    </row>
    <row r="20" spans="1:9" x14ac:dyDescent="0.25">
      <c r="A20" s="1"/>
      <c r="B20" s="63"/>
      <c r="C20" s="64"/>
      <c r="D20" s="64"/>
      <c r="E20" s="64"/>
      <c r="F20" s="64"/>
      <c r="G20" s="55"/>
      <c r="H20" s="19"/>
      <c r="I20" s="1"/>
    </row>
    <row r="21" spans="1:9" x14ac:dyDescent="0.25">
      <c r="A21" s="1"/>
      <c r="B21" s="1"/>
      <c r="C21" s="1"/>
      <c r="D21" s="1"/>
      <c r="E21" s="1"/>
      <c r="F21" s="1"/>
      <c r="G21" s="56"/>
      <c r="H21" s="1"/>
      <c r="I21" s="1"/>
    </row>
    <row r="22" spans="1:9" x14ac:dyDescent="0.25">
      <c r="A22" s="1"/>
      <c r="B22" s="117" t="s">
        <v>52</v>
      </c>
      <c r="C22" s="118"/>
      <c r="D22" s="118"/>
      <c r="E22" s="118"/>
      <c r="F22" s="118"/>
      <c r="G22" s="130"/>
      <c r="H22" s="119"/>
      <c r="I22" s="1"/>
    </row>
    <row r="23" spans="1:9" x14ac:dyDescent="0.25">
      <c r="A23" s="1"/>
      <c r="B23" s="124" t="s">
        <v>46</v>
      </c>
      <c r="C23" s="125"/>
      <c r="D23" s="125"/>
      <c r="E23" s="125"/>
      <c r="F23" s="126"/>
      <c r="G23" s="54">
        <f>(SUM(G16:G18)-G19)*(1+'Fane 13. Nøgletal'!C11)</f>
        <v>5020339.135472347</v>
      </c>
      <c r="H23" s="14" t="s">
        <v>3</v>
      </c>
      <c r="I23" s="1"/>
    </row>
    <row r="24" spans="1:9" x14ac:dyDescent="0.25">
      <c r="A24" s="1"/>
      <c r="B24" s="127" t="s">
        <v>47</v>
      </c>
      <c r="C24" s="128"/>
      <c r="D24" s="128"/>
      <c r="E24" s="128"/>
      <c r="F24" s="129"/>
      <c r="G24" s="54">
        <v>55417.585832730008</v>
      </c>
      <c r="H24" s="14" t="s">
        <v>3</v>
      </c>
      <c r="I24" s="1"/>
    </row>
    <row r="25" spans="1:9" x14ac:dyDescent="0.25">
      <c r="A25" s="1"/>
      <c r="B25" s="124" t="s">
        <v>48</v>
      </c>
      <c r="C25" s="125"/>
      <c r="D25" s="125"/>
      <c r="E25" s="125"/>
      <c r="F25" s="126"/>
      <c r="G25" s="54">
        <f>(G23+G24)*'Fane 13. Nøgletal'!C31</f>
        <v>101515.13442610155</v>
      </c>
      <c r="H25" s="14" t="s">
        <v>3</v>
      </c>
      <c r="I25" s="1"/>
    </row>
    <row r="26" spans="1:9" x14ac:dyDescent="0.25">
      <c r="A26" s="1"/>
      <c r="B26" s="63"/>
      <c r="C26" s="64"/>
      <c r="D26" s="64"/>
      <c r="E26" s="64"/>
      <c r="F26" s="64"/>
      <c r="G26" s="55"/>
      <c r="H26" s="19"/>
      <c r="I26" s="1"/>
    </row>
    <row r="27" spans="1:9" x14ac:dyDescent="0.25">
      <c r="A27" s="1"/>
      <c r="B27" s="1"/>
      <c r="C27" s="1"/>
      <c r="D27" s="1"/>
      <c r="E27" s="1"/>
      <c r="F27" s="1"/>
      <c r="G27" s="56"/>
      <c r="H27" s="1"/>
      <c r="I27" s="1"/>
    </row>
    <row r="28" spans="1:9" x14ac:dyDescent="0.25">
      <c r="A28" s="1"/>
      <c r="B28" s="117" t="s">
        <v>132</v>
      </c>
      <c r="C28" s="118"/>
      <c r="D28" s="118"/>
      <c r="E28" s="118"/>
      <c r="F28" s="118"/>
      <c r="G28" s="130"/>
      <c r="H28" s="119"/>
      <c r="I28" s="1"/>
    </row>
    <row r="29" spans="1:9" x14ac:dyDescent="0.25">
      <c r="A29" s="1"/>
      <c r="B29" s="124" t="s">
        <v>55</v>
      </c>
      <c r="C29" s="125"/>
      <c r="D29" s="125"/>
      <c r="E29" s="125"/>
      <c r="F29" s="126"/>
      <c r="G29" s="54">
        <f>(G23+G24-G25)*(1+'Fane 13. Nøgletal'!C13)</f>
        <v>5034927.3342388989</v>
      </c>
      <c r="H29" s="14" t="s">
        <v>3</v>
      </c>
      <c r="I29" s="1"/>
    </row>
    <row r="30" spans="1:9" x14ac:dyDescent="0.25">
      <c r="A30" s="1"/>
      <c r="B30" s="124" t="s">
        <v>121</v>
      </c>
      <c r="C30" s="125"/>
      <c r="D30" s="125"/>
      <c r="E30" s="125"/>
      <c r="F30" s="126"/>
      <c r="G30" s="54">
        <v>1029893.91129828</v>
      </c>
      <c r="H30" s="14" t="s">
        <v>3</v>
      </c>
      <c r="I30" s="1"/>
    </row>
    <row r="31" spans="1:9" x14ac:dyDescent="0.25">
      <c r="A31" s="1"/>
      <c r="B31" s="124" t="s">
        <v>126</v>
      </c>
      <c r="C31" s="125"/>
      <c r="D31" s="125"/>
      <c r="E31" s="125"/>
      <c r="F31" s="126"/>
      <c r="G31" s="54">
        <f>(G29+G30)*'Fane 13. Nøgletal'!C31</f>
        <v>121296.42491074358</v>
      </c>
      <c r="H31" s="14" t="s">
        <v>3</v>
      </c>
      <c r="I31" s="1"/>
    </row>
    <row r="32" spans="1:9" x14ac:dyDescent="0.25">
      <c r="A32" s="1"/>
      <c r="B32" s="63"/>
      <c r="C32" s="64"/>
      <c r="D32" s="64"/>
      <c r="E32" s="64"/>
      <c r="F32" s="64"/>
      <c r="G32" s="55"/>
      <c r="H32" s="19"/>
      <c r="I32" s="1"/>
    </row>
    <row r="33" spans="1:9" x14ac:dyDescent="0.25">
      <c r="A33" s="1"/>
      <c r="B33" s="1"/>
      <c r="C33" s="1"/>
      <c r="D33" s="1"/>
      <c r="E33" s="1"/>
      <c r="F33" s="1"/>
      <c r="G33" s="56"/>
      <c r="H33" s="1"/>
      <c r="I33" s="1"/>
    </row>
    <row r="34" spans="1:9" x14ac:dyDescent="0.25">
      <c r="A34" s="1"/>
      <c r="B34" s="117" t="s">
        <v>133</v>
      </c>
      <c r="C34" s="118"/>
      <c r="D34" s="118"/>
      <c r="E34" s="118"/>
      <c r="F34" s="118"/>
      <c r="G34" s="130"/>
      <c r="H34" s="119"/>
      <c r="I34" s="1"/>
    </row>
    <row r="35" spans="1:9" x14ac:dyDescent="0.25">
      <c r="A35" s="1"/>
      <c r="B35" s="124" t="s">
        <v>74</v>
      </c>
      <c r="C35" s="125"/>
      <c r="D35" s="125"/>
      <c r="E35" s="125"/>
      <c r="F35" s="126"/>
      <c r="G35" s="54">
        <f>(G29+G30-G31)*(1+'Fane 13. Nøgletal'!C13)</f>
        <v>6016035.8234380772</v>
      </c>
      <c r="H35" s="14" t="s">
        <v>3</v>
      </c>
      <c r="I35" s="1"/>
    </row>
    <row r="36" spans="1:9" x14ac:dyDescent="0.25">
      <c r="A36" s="1"/>
      <c r="B36" s="124" t="s">
        <v>152</v>
      </c>
      <c r="C36" s="125"/>
      <c r="D36" s="125"/>
      <c r="E36" s="125"/>
      <c r="F36" s="126"/>
      <c r="G36" s="54">
        <f>('Fane 3. Omkostninger i ØR2022'!E10+'Fane 3. Omkostninger i ØR2022'!E12+'Fane 3. Omkostninger i ØR2022'!E14)*(1+'Fane 13. Nøgletal'!C14)</f>
        <v>360316.36807550007</v>
      </c>
      <c r="H36" s="14" t="s">
        <v>3</v>
      </c>
      <c r="I36" s="1"/>
    </row>
    <row r="37" spans="1:9" x14ac:dyDescent="0.25">
      <c r="A37" s="1"/>
      <c r="B37" s="124" t="s">
        <v>134</v>
      </c>
      <c r="C37" s="125"/>
      <c r="D37" s="125"/>
      <c r="E37" s="125"/>
      <c r="F37" s="126"/>
      <c r="G37" s="54">
        <f>(G35+G36)*'Fane 13. Nøgletal'!C31</f>
        <v>127527.04383027155</v>
      </c>
      <c r="H37" s="14" t="s">
        <v>3</v>
      </c>
      <c r="I37" s="1"/>
    </row>
    <row r="38" spans="1:9" x14ac:dyDescent="0.25">
      <c r="A38" s="1"/>
      <c r="B38" s="63"/>
      <c r="C38" s="64"/>
      <c r="D38" s="64"/>
      <c r="E38" s="64"/>
      <c r="F38" s="64"/>
      <c r="G38" s="55"/>
      <c r="H38" s="19"/>
      <c r="I38" s="1"/>
    </row>
    <row r="39" spans="1:9" x14ac:dyDescent="0.25">
      <c r="A39" s="1"/>
      <c r="B39" s="1"/>
      <c r="C39" s="1"/>
      <c r="D39" s="1"/>
      <c r="E39" s="1"/>
      <c r="F39" s="1"/>
      <c r="G39" s="56"/>
      <c r="H39" s="1"/>
      <c r="I39" s="1"/>
    </row>
    <row r="40" spans="1:9" x14ac:dyDescent="0.25">
      <c r="A40" s="1"/>
      <c r="B40" s="117" t="s">
        <v>198</v>
      </c>
      <c r="C40" s="118"/>
      <c r="D40" s="118"/>
      <c r="E40" s="118"/>
      <c r="F40" s="118"/>
      <c r="G40" s="130"/>
      <c r="H40" s="119"/>
      <c r="I40" s="1"/>
    </row>
    <row r="41" spans="1:9" x14ac:dyDescent="0.25">
      <c r="A41" s="1"/>
      <c r="B41" s="124" t="s">
        <v>73</v>
      </c>
      <c r="C41" s="125"/>
      <c r="D41" s="125"/>
      <c r="E41" s="125"/>
      <c r="F41" s="126"/>
      <c r="G41" s="54">
        <f>(G35+G36-G37)*(1+'Fane 13. Nøgletal'!C15)</f>
        <v>6471283.322940832</v>
      </c>
      <c r="H41" s="14" t="s">
        <v>3</v>
      </c>
      <c r="I41" s="1"/>
    </row>
    <row r="42" spans="1:9" x14ac:dyDescent="0.25">
      <c r="A42" s="1"/>
      <c r="B42" s="124" t="s">
        <v>197</v>
      </c>
      <c r="C42" s="125"/>
      <c r="D42" s="125"/>
      <c r="E42" s="125"/>
      <c r="F42" s="126"/>
      <c r="G42" s="54">
        <f>('Fane 2.1. Økonomisk ramme 2023'!C9+'Fane 2.1. Økonomisk ramme 2023'!C11+'Fane 2.1. Økonomisk ramme 2023'!C13)*(1+'Fane 13. Nøgletal'!C15)</f>
        <v>257009.29555248003</v>
      </c>
      <c r="H42" s="14" t="s">
        <v>3</v>
      </c>
      <c r="I42" s="1"/>
    </row>
    <row r="43" spans="1:9" x14ac:dyDescent="0.25">
      <c r="A43" s="1"/>
      <c r="B43" s="124" t="s">
        <v>208</v>
      </c>
      <c r="C43" s="125"/>
      <c r="D43" s="125"/>
      <c r="E43" s="125"/>
      <c r="F43" s="126"/>
      <c r="G43" s="54">
        <f>(G41+G42)*'Fane 13. Nøgletal'!C31</f>
        <v>134565.85236986625</v>
      </c>
      <c r="H43" s="14" t="s">
        <v>3</v>
      </c>
      <c r="I43" s="1"/>
    </row>
    <row r="44" spans="1:9" x14ac:dyDescent="0.25">
      <c r="A44" s="1"/>
      <c r="B44" s="63"/>
      <c r="C44" s="64"/>
      <c r="D44" s="64"/>
      <c r="E44" s="64"/>
      <c r="F44" s="64"/>
      <c r="G44" s="55"/>
      <c r="H44" s="19"/>
      <c r="I44" s="1"/>
    </row>
    <row r="45" spans="1:9" x14ac:dyDescent="0.25">
      <c r="A45" s="1"/>
      <c r="B45" s="1"/>
      <c r="C45" s="1"/>
      <c r="D45" s="1"/>
      <c r="E45" s="1"/>
      <c r="F45" s="1"/>
      <c r="G45" s="56"/>
      <c r="H45" s="1"/>
      <c r="I45" s="1"/>
    </row>
    <row r="46" spans="1:9" x14ac:dyDescent="0.25">
      <c r="A46" s="1"/>
      <c r="B46" s="117" t="s">
        <v>199</v>
      </c>
      <c r="C46" s="118"/>
      <c r="D46" s="118"/>
      <c r="E46" s="118"/>
      <c r="F46" s="118"/>
      <c r="G46" s="130"/>
      <c r="H46" s="119"/>
      <c r="I46" s="1"/>
    </row>
    <row r="47" spans="1:9" x14ac:dyDescent="0.25">
      <c r="A47" s="1"/>
      <c r="B47" s="124" t="s">
        <v>122</v>
      </c>
      <c r="C47" s="125"/>
      <c r="D47" s="125"/>
      <c r="E47" s="125"/>
      <c r="F47" s="126"/>
      <c r="G47" s="54">
        <f>(G41+G42-G43)*(1+'Fane 13. Nøgletal'!C15)</f>
        <v>6828463.438997441</v>
      </c>
      <c r="H47" s="14" t="s">
        <v>3</v>
      </c>
      <c r="I47" s="1"/>
    </row>
    <row r="48" spans="1:9" x14ac:dyDescent="0.25">
      <c r="A48" s="1"/>
      <c r="B48" s="124" t="s">
        <v>209</v>
      </c>
      <c r="C48" s="125"/>
      <c r="D48" s="125"/>
      <c r="E48" s="125"/>
      <c r="F48" s="126"/>
      <c r="G48" s="54">
        <f>(G47)*'Fane 13. Nøgletal'!C31</f>
        <v>136569.26877994882</v>
      </c>
      <c r="H48" s="14" t="s">
        <v>3</v>
      </c>
      <c r="I48" s="1"/>
    </row>
    <row r="49" spans="1:9" x14ac:dyDescent="0.25">
      <c r="A49" s="1"/>
      <c r="B49" s="63"/>
      <c r="C49" s="64"/>
      <c r="D49" s="64"/>
      <c r="E49" s="64"/>
      <c r="F49" s="64"/>
      <c r="G49" s="55"/>
      <c r="H49" s="19"/>
      <c r="I49" s="1"/>
    </row>
    <row r="50" spans="1:9" x14ac:dyDescent="0.25">
      <c r="A50" s="1"/>
      <c r="B50" s="1"/>
      <c r="C50" s="1"/>
      <c r="D50" s="1"/>
      <c r="E50" s="1"/>
      <c r="F50" s="1"/>
      <c r="G50" s="56"/>
      <c r="H50" s="1"/>
      <c r="I50" s="1"/>
    </row>
    <row r="51" spans="1:9" x14ac:dyDescent="0.25">
      <c r="A51" s="1"/>
      <c r="B51" s="117" t="s">
        <v>145</v>
      </c>
      <c r="C51" s="118"/>
      <c r="D51" s="118"/>
      <c r="E51" s="118"/>
      <c r="F51" s="118"/>
      <c r="G51" s="130"/>
      <c r="H51" s="119"/>
      <c r="I51" s="1"/>
    </row>
    <row r="52" spans="1:9" x14ac:dyDescent="0.25">
      <c r="A52" s="1"/>
      <c r="B52" s="124" t="s">
        <v>146</v>
      </c>
      <c r="C52" s="125"/>
      <c r="D52" s="125"/>
      <c r="E52" s="125"/>
      <c r="F52" s="126"/>
      <c r="G52" s="54">
        <f>(G47-G48)*(1+'Fane 13. Nøgletal'!C15)</f>
        <v>6930125.6026772344</v>
      </c>
      <c r="H52" s="14" t="s">
        <v>3</v>
      </c>
      <c r="I52" s="1"/>
    </row>
    <row r="53" spans="1:9" x14ac:dyDescent="0.25">
      <c r="A53" s="1"/>
      <c r="B53" s="124" t="s">
        <v>147</v>
      </c>
      <c r="C53" s="125"/>
      <c r="D53" s="125"/>
      <c r="E53" s="125"/>
      <c r="F53" s="126"/>
      <c r="G53" s="54">
        <f>(G52)*'Fane 13. Nøgletal'!C31</f>
        <v>138602.51205354469</v>
      </c>
      <c r="H53" s="14" t="s">
        <v>3</v>
      </c>
      <c r="I53" s="1"/>
    </row>
    <row r="54" spans="1:9" x14ac:dyDescent="0.25">
      <c r="A54" s="1"/>
      <c r="B54" s="63"/>
      <c r="C54" s="64"/>
      <c r="D54" s="64"/>
      <c r="E54" s="64"/>
      <c r="F54" s="64"/>
      <c r="G54" s="55"/>
      <c r="H54" s="19"/>
      <c r="I54" s="1"/>
    </row>
    <row r="55" spans="1:9" x14ac:dyDescent="0.25">
      <c r="A55" s="1"/>
      <c r="B55" s="1"/>
      <c r="C55" s="1"/>
      <c r="D55" s="1"/>
      <c r="E55" s="1"/>
      <c r="F55" s="1"/>
      <c r="G55" s="56"/>
      <c r="H55" s="1"/>
      <c r="I55" s="1"/>
    </row>
    <row r="56" spans="1:9" x14ac:dyDescent="0.25">
      <c r="A56" s="1"/>
      <c r="B56" s="117" t="s">
        <v>174</v>
      </c>
      <c r="C56" s="118"/>
      <c r="D56" s="118"/>
      <c r="E56" s="118"/>
      <c r="F56" s="118"/>
      <c r="G56" s="130"/>
      <c r="H56" s="119"/>
      <c r="I56" s="1"/>
    </row>
    <row r="57" spans="1:9" x14ac:dyDescent="0.25">
      <c r="A57" s="1"/>
      <c r="B57" s="124" t="s">
        <v>175</v>
      </c>
      <c r="C57" s="125"/>
      <c r="D57" s="125"/>
      <c r="E57" s="125"/>
      <c r="F57" s="126"/>
      <c r="G57" s="54">
        <f>(G52-G53)*(1+'Fane 13. Nøgletal'!C15)</f>
        <v>7033301.3126498936</v>
      </c>
      <c r="H57" s="14" t="s">
        <v>3</v>
      </c>
      <c r="I57" s="1"/>
    </row>
    <row r="58" spans="1:9" x14ac:dyDescent="0.25">
      <c r="A58" s="1"/>
      <c r="B58" s="124" t="s">
        <v>176</v>
      </c>
      <c r="C58" s="125"/>
      <c r="D58" s="125"/>
      <c r="E58" s="125"/>
      <c r="F58" s="126"/>
      <c r="G58" s="54">
        <f>(G57)*'Fane 13. Nøgletal'!C31</f>
        <v>140666.02625299786</v>
      </c>
      <c r="H58" s="14" t="s">
        <v>3</v>
      </c>
      <c r="I58" s="1"/>
    </row>
    <row r="59" spans="1:9" x14ac:dyDescent="0.25">
      <c r="A59" s="1"/>
      <c r="B59" s="63"/>
      <c r="C59" s="64"/>
      <c r="D59" s="64"/>
      <c r="E59" s="64"/>
      <c r="F59" s="64"/>
      <c r="G59" s="37"/>
      <c r="H59" s="19"/>
      <c r="I59" s="1"/>
    </row>
    <row r="60" spans="1:9" x14ac:dyDescent="0.25">
      <c r="A60" s="1"/>
      <c r="B60" s="1"/>
      <c r="C60" s="1"/>
      <c r="D60" s="1"/>
      <c r="E60" s="1"/>
      <c r="F60" s="1"/>
      <c r="G60" s="38"/>
      <c r="H60" s="1"/>
      <c r="I60" s="1"/>
    </row>
    <row r="61" spans="1:9" x14ac:dyDescent="0.25">
      <c r="A61" s="1"/>
      <c r="B61" s="1"/>
      <c r="C61" s="1"/>
      <c r="D61" s="1"/>
      <c r="E61" s="1"/>
      <c r="F61" s="1"/>
      <c r="G61" s="38"/>
      <c r="H61" s="1"/>
      <c r="I61" s="1"/>
    </row>
    <row r="62" spans="1:9" x14ac:dyDescent="0.25">
      <c r="A62" s="1"/>
      <c r="B62" s="1"/>
      <c r="C62" s="1"/>
      <c r="D62" s="1"/>
      <c r="E62" s="1"/>
      <c r="F62" s="1"/>
      <c r="G62" s="38"/>
      <c r="H62" s="1"/>
      <c r="I62" s="1"/>
    </row>
    <row r="63" spans="1:9" x14ac:dyDescent="0.25">
      <c r="A63" s="1"/>
      <c r="B63" s="1"/>
      <c r="C63" s="1"/>
      <c r="D63" s="1"/>
      <c r="E63" s="1"/>
      <c r="F63" s="1"/>
      <c r="G63" s="38"/>
      <c r="H63" s="1"/>
      <c r="I63" s="1"/>
    </row>
    <row r="64" spans="1:9" x14ac:dyDescent="0.25">
      <c r="A64" s="1"/>
      <c r="B64" s="1"/>
      <c r="C64" s="1"/>
      <c r="D64" s="1"/>
      <c r="E64" s="1"/>
      <c r="F64" s="1"/>
      <c r="G64" s="38"/>
      <c r="H64" s="1"/>
      <c r="I64" s="1"/>
    </row>
    <row r="65" spans="1:9" x14ac:dyDescent="0.25">
      <c r="A65" s="1"/>
      <c r="B65" s="1"/>
      <c r="C65" s="1"/>
      <c r="D65" s="1"/>
      <c r="E65" s="1"/>
      <c r="F65" s="1"/>
      <c r="G65" s="38"/>
      <c r="H65" s="1"/>
      <c r="I65" s="1"/>
    </row>
  </sheetData>
  <sheetProtection algorithmName="SHA-512" hashValue="HdjF/XTD+srYyLqgzfsSTxFyTNdW0LhUH7FDQr1YnzAmUpZwbhP06gAI08e/scZTM6i5hkC7EQOu0X3tx2IC1w==" saltValue="83mas7uLKO1rzcr8nmsz9A==" spinCount="100000" sheet="1" objects="1" scenarios="1"/>
  <mergeCells count="38">
    <mergeCell ref="B58:F58"/>
    <mergeCell ref="B51:H51"/>
    <mergeCell ref="B52:F52"/>
    <mergeCell ref="B53:F53"/>
    <mergeCell ref="B37:F37"/>
    <mergeCell ref="B46:H46"/>
    <mergeCell ref="B36:F36"/>
    <mergeCell ref="B56:H56"/>
    <mergeCell ref="B57:F57"/>
    <mergeCell ref="B47:F47"/>
    <mergeCell ref="B48:F48"/>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5"/>
  <sheetViews>
    <sheetView showGridLines="0" view="pageLayout" zoomScaleNormal="120" workbookViewId="0"/>
  </sheetViews>
  <sheetFormatPr defaultColWidth="9.140625" defaultRowHeight="15" x14ac:dyDescent="0.25"/>
  <cols>
    <col min="1" max="1" width="3.85546875" style="2" customWidth="1"/>
    <col min="2" max="5" width="9.140625" style="2"/>
    <col min="6" max="6" width="25.85546875" style="2" customWidth="1"/>
    <col min="7" max="7" width="10.28515625" style="2" customWidth="1"/>
    <col min="8" max="8" width="2.85546875" style="2" bestFit="1" customWidth="1"/>
    <col min="9" max="9" width="3.85546875" style="2" customWidth="1"/>
    <col min="10" max="16384" width="9.140625" style="2"/>
  </cols>
  <sheetData>
    <row r="1" spans="1:9" x14ac:dyDescent="0.25">
      <c r="A1" s="1"/>
      <c r="B1" s="131" t="s">
        <v>99</v>
      </c>
      <c r="C1" s="132"/>
      <c r="D1" s="132"/>
      <c r="E1" s="132"/>
      <c r="F1" s="132"/>
      <c r="G1" s="132"/>
      <c r="H1" s="132"/>
      <c r="I1" s="1"/>
    </row>
    <row r="2" spans="1:9" ht="19.899999999999999" customHeight="1" x14ac:dyDescent="0.25">
      <c r="A2" s="1"/>
      <c r="B2" s="132"/>
      <c r="C2" s="132"/>
      <c r="D2" s="132"/>
      <c r="E2" s="132"/>
      <c r="F2" s="132"/>
      <c r="G2" s="132"/>
      <c r="H2" s="132"/>
      <c r="I2" s="1"/>
    </row>
    <row r="3" spans="1:9" ht="15" customHeight="1" x14ac:dyDescent="0.25">
      <c r="A3" s="1"/>
      <c r="B3" s="133"/>
      <c r="C3" s="133"/>
      <c r="D3" s="133"/>
      <c r="E3" s="133"/>
      <c r="F3" s="133"/>
      <c r="G3" s="133"/>
      <c r="H3" s="133"/>
      <c r="I3" s="1"/>
    </row>
    <row r="4" spans="1:9" x14ac:dyDescent="0.25">
      <c r="A4" s="1"/>
      <c r="B4" s="117" t="s">
        <v>53</v>
      </c>
      <c r="C4" s="118"/>
      <c r="D4" s="118"/>
      <c r="E4" s="118"/>
      <c r="F4" s="118"/>
      <c r="G4" s="118"/>
      <c r="H4" s="119"/>
      <c r="I4" s="1"/>
    </row>
    <row r="5" spans="1:9" x14ac:dyDescent="0.25">
      <c r="A5" s="1"/>
      <c r="B5" s="124" t="s">
        <v>56</v>
      </c>
      <c r="C5" s="125"/>
      <c r="D5" s="125"/>
      <c r="E5" s="125"/>
      <c r="F5" s="126"/>
      <c r="G5" s="54">
        <v>5885449.4345811922</v>
      </c>
      <c r="H5" s="14" t="s">
        <v>3</v>
      </c>
      <c r="I5" s="1"/>
    </row>
    <row r="6" spans="1:9" x14ac:dyDescent="0.25">
      <c r="A6" s="1"/>
      <c r="B6" s="124" t="s">
        <v>54</v>
      </c>
      <c r="C6" s="125"/>
      <c r="D6" s="125"/>
      <c r="E6" s="125"/>
      <c r="F6" s="126"/>
      <c r="G6" s="54">
        <f>G5*'Fane 13. Nøgletal'!C20</f>
        <v>53557.589854688849</v>
      </c>
      <c r="H6" s="14" t="s">
        <v>3</v>
      </c>
      <c r="I6" s="1"/>
    </row>
    <row r="7" spans="1:9" x14ac:dyDescent="0.25">
      <c r="A7" s="1"/>
      <c r="B7" s="63"/>
      <c r="C7" s="64"/>
      <c r="D7" s="64"/>
      <c r="E7" s="64"/>
      <c r="F7" s="64"/>
      <c r="G7" s="57"/>
      <c r="H7" s="19"/>
      <c r="I7" s="1"/>
    </row>
    <row r="8" spans="1:9" x14ac:dyDescent="0.25">
      <c r="A8" s="1"/>
      <c r="B8" s="1"/>
      <c r="C8" s="1"/>
      <c r="D8" s="1"/>
      <c r="E8" s="1"/>
      <c r="F8" s="1"/>
      <c r="G8" s="58"/>
      <c r="H8" s="1"/>
      <c r="I8" s="1"/>
    </row>
    <row r="9" spans="1:9" x14ac:dyDescent="0.25">
      <c r="A9" s="1"/>
      <c r="B9" s="117" t="s">
        <v>57</v>
      </c>
      <c r="C9" s="118"/>
      <c r="D9" s="118"/>
      <c r="E9" s="118"/>
      <c r="F9" s="118"/>
      <c r="G9" s="130"/>
      <c r="H9" s="119"/>
      <c r="I9" s="1"/>
    </row>
    <row r="10" spans="1:9" x14ac:dyDescent="0.25">
      <c r="A10" s="1"/>
      <c r="B10" s="124" t="s">
        <v>58</v>
      </c>
      <c r="C10" s="125"/>
      <c r="D10" s="125"/>
      <c r="E10" s="125"/>
      <c r="F10" s="126"/>
      <c r="G10" s="54">
        <f>(G5-G6)*(1+'Fane 13. Nøgletal'!C9)</f>
        <v>5905956.871154529</v>
      </c>
      <c r="H10" s="14" t="s">
        <v>3</v>
      </c>
      <c r="I10" s="1"/>
    </row>
    <row r="11" spans="1:9" x14ac:dyDescent="0.25">
      <c r="A11" s="1"/>
      <c r="B11" s="127" t="s">
        <v>59</v>
      </c>
      <c r="C11" s="128"/>
      <c r="D11" s="128"/>
      <c r="E11" s="128"/>
      <c r="F11" s="129"/>
      <c r="G11" s="59">
        <v>0</v>
      </c>
      <c r="H11" s="14" t="s">
        <v>3</v>
      </c>
      <c r="I11" s="1"/>
    </row>
    <row r="12" spans="1:9" x14ac:dyDescent="0.25">
      <c r="A12" s="1"/>
      <c r="B12" s="124" t="s">
        <v>60</v>
      </c>
      <c r="C12" s="125"/>
      <c r="D12" s="125"/>
      <c r="E12" s="125"/>
      <c r="F12" s="126"/>
      <c r="G12" s="54">
        <f>G10*'Fane 13. Nøgletal'!C20+G11*'Fane 13. Nøgletal'!C21</f>
        <v>53744.207527506216</v>
      </c>
      <c r="H12" s="14" t="s">
        <v>3</v>
      </c>
      <c r="I12" s="1"/>
    </row>
    <row r="13" spans="1:9" x14ac:dyDescent="0.25">
      <c r="A13" s="1"/>
      <c r="B13" s="63"/>
      <c r="C13" s="64"/>
      <c r="D13" s="64"/>
      <c r="E13" s="64"/>
      <c r="F13" s="64"/>
      <c r="G13" s="57"/>
      <c r="H13" s="19"/>
      <c r="I13" s="1"/>
    </row>
    <row r="14" spans="1:9" x14ac:dyDescent="0.25">
      <c r="A14" s="1"/>
      <c r="B14" s="1"/>
      <c r="C14" s="1"/>
      <c r="D14" s="1"/>
      <c r="E14" s="1"/>
      <c r="F14" s="1"/>
      <c r="G14" s="58"/>
      <c r="H14" s="1"/>
      <c r="I14" s="1"/>
    </row>
    <row r="15" spans="1:9" x14ac:dyDescent="0.25">
      <c r="A15" s="1"/>
      <c r="B15" s="117" t="s">
        <v>61</v>
      </c>
      <c r="C15" s="118"/>
      <c r="D15" s="118"/>
      <c r="E15" s="118"/>
      <c r="F15" s="118"/>
      <c r="G15" s="130"/>
      <c r="H15" s="119"/>
      <c r="I15" s="1"/>
    </row>
    <row r="16" spans="1:9" x14ac:dyDescent="0.25">
      <c r="A16" s="1"/>
      <c r="B16" s="124" t="s">
        <v>62</v>
      </c>
      <c r="C16" s="125"/>
      <c r="D16" s="125"/>
      <c r="E16" s="125"/>
      <c r="F16" s="126"/>
      <c r="G16" s="54">
        <f>(G10+G11-G12)*(1+'Fane 13. Nøgletal'!C11)</f>
        <v>5951115.0576423192</v>
      </c>
      <c r="H16" s="14" t="s">
        <v>3</v>
      </c>
      <c r="I16" s="1"/>
    </row>
    <row r="17" spans="1:9" x14ac:dyDescent="0.25">
      <c r="A17" s="1"/>
      <c r="B17" s="124" t="s">
        <v>109</v>
      </c>
      <c r="C17" s="125"/>
      <c r="D17" s="125"/>
      <c r="E17" s="125"/>
      <c r="F17" s="126"/>
      <c r="G17" s="54">
        <v>59462.366569985788</v>
      </c>
      <c r="H17" s="14" t="s">
        <v>3</v>
      </c>
      <c r="I17" s="1"/>
    </row>
    <row r="18" spans="1:9" x14ac:dyDescent="0.25">
      <c r="A18" s="1"/>
      <c r="B18" s="127" t="s">
        <v>63</v>
      </c>
      <c r="C18" s="128"/>
      <c r="D18" s="128"/>
      <c r="E18" s="128"/>
      <c r="F18" s="129"/>
      <c r="G18" s="54">
        <v>214331.82212786996</v>
      </c>
      <c r="H18" s="14" t="s">
        <v>3</v>
      </c>
      <c r="I18" s="1"/>
    </row>
    <row r="19" spans="1:9" x14ac:dyDescent="0.25">
      <c r="A19" s="1"/>
      <c r="B19" s="124" t="s">
        <v>64</v>
      </c>
      <c r="C19" s="125"/>
      <c r="D19" s="125"/>
      <c r="E19" s="125"/>
      <c r="F19" s="126"/>
      <c r="G19" s="54">
        <f>(G16+G17+G18)*'Fane 13. Nøgletal'!C22</f>
        <v>54156.710443159522</v>
      </c>
      <c r="H19" s="14" t="s">
        <v>3</v>
      </c>
      <c r="I19" s="1"/>
    </row>
    <row r="20" spans="1:9" x14ac:dyDescent="0.25">
      <c r="A20" s="1"/>
      <c r="B20" s="63"/>
      <c r="C20" s="64"/>
      <c r="D20" s="64"/>
      <c r="E20" s="64"/>
      <c r="F20" s="64"/>
      <c r="G20" s="57"/>
      <c r="H20" s="19"/>
      <c r="I20" s="1"/>
    </row>
    <row r="21" spans="1:9" x14ac:dyDescent="0.25">
      <c r="A21" s="1"/>
      <c r="B21" s="1"/>
      <c r="C21" s="1"/>
      <c r="D21" s="1"/>
      <c r="E21" s="1"/>
      <c r="F21" s="1"/>
      <c r="G21" s="58"/>
      <c r="H21" s="1"/>
      <c r="I21" s="1"/>
    </row>
    <row r="22" spans="1:9" x14ac:dyDescent="0.25">
      <c r="A22" s="1"/>
      <c r="B22" s="117" t="s">
        <v>65</v>
      </c>
      <c r="C22" s="118"/>
      <c r="D22" s="118"/>
      <c r="E22" s="118"/>
      <c r="F22" s="118"/>
      <c r="G22" s="130"/>
      <c r="H22" s="119"/>
      <c r="I22" s="1"/>
    </row>
    <row r="23" spans="1:9" x14ac:dyDescent="0.25">
      <c r="A23" s="1"/>
      <c r="B23" s="124" t="s">
        <v>66</v>
      </c>
      <c r="C23" s="125"/>
      <c r="D23" s="125"/>
      <c r="E23" s="125"/>
      <c r="F23" s="126"/>
      <c r="G23" s="54">
        <f>(SUM(G16:G18)-G19)*(1+'Fane 13. Nøgletal'!C11)</f>
        <v>6275038.2537536742</v>
      </c>
      <c r="H23" s="14" t="s">
        <v>3</v>
      </c>
      <c r="I23" s="1"/>
    </row>
    <row r="24" spans="1:9" x14ac:dyDescent="0.25">
      <c r="A24" s="1"/>
      <c r="B24" s="127" t="s">
        <v>67</v>
      </c>
      <c r="C24" s="128"/>
      <c r="D24" s="128"/>
      <c r="E24" s="128"/>
      <c r="F24" s="129"/>
      <c r="G24" s="54">
        <v>362809.48034697305</v>
      </c>
      <c r="H24" s="14" t="s">
        <v>3</v>
      </c>
      <c r="I24" s="1"/>
    </row>
    <row r="25" spans="1:9" x14ac:dyDescent="0.25">
      <c r="A25" s="1"/>
      <c r="B25" s="124" t="s">
        <v>68</v>
      </c>
      <c r="C25" s="125"/>
      <c r="D25" s="125"/>
      <c r="E25" s="125"/>
      <c r="F25" s="126"/>
      <c r="G25" s="54">
        <f>G23*'Fane 13. Nøgletal'!C22+G24*'Fane 13. Nøgletal'!C23</f>
        <v>64896.622049510996</v>
      </c>
      <c r="H25" s="14" t="s">
        <v>3</v>
      </c>
      <c r="I25" s="1"/>
    </row>
    <row r="26" spans="1:9" x14ac:dyDescent="0.25">
      <c r="A26" s="1"/>
      <c r="B26" s="63"/>
      <c r="C26" s="64"/>
      <c r="D26" s="64"/>
      <c r="E26" s="64"/>
      <c r="F26" s="64"/>
      <c r="G26" s="57"/>
      <c r="H26" s="19"/>
      <c r="I26" s="1"/>
    </row>
    <row r="27" spans="1:9" x14ac:dyDescent="0.25">
      <c r="A27" s="1"/>
      <c r="B27" s="1"/>
      <c r="C27" s="1"/>
      <c r="D27" s="1"/>
      <c r="E27" s="1"/>
      <c r="F27" s="1"/>
      <c r="G27" s="58"/>
      <c r="H27" s="1"/>
      <c r="I27" s="1"/>
    </row>
    <row r="28" spans="1:9" x14ac:dyDescent="0.25">
      <c r="A28" s="1"/>
      <c r="B28" s="117" t="s">
        <v>130</v>
      </c>
      <c r="C28" s="118"/>
      <c r="D28" s="118"/>
      <c r="E28" s="118"/>
      <c r="F28" s="118"/>
      <c r="G28" s="130"/>
      <c r="H28" s="119"/>
      <c r="I28" s="1"/>
    </row>
    <row r="29" spans="1:9" x14ac:dyDescent="0.25">
      <c r="A29" s="1"/>
      <c r="B29" s="124" t="s">
        <v>69</v>
      </c>
      <c r="C29" s="125"/>
      <c r="D29" s="125"/>
      <c r="E29" s="125"/>
      <c r="F29" s="126"/>
      <c r="G29" s="54">
        <f>(G23+G24-G25)*(1+'Fane 13. Nøgletal'!C13)</f>
        <v>6653141.11561816</v>
      </c>
      <c r="H29" s="14" t="s">
        <v>3</v>
      </c>
      <c r="I29" s="1"/>
    </row>
    <row r="30" spans="1:9" x14ac:dyDescent="0.25">
      <c r="A30" s="1"/>
      <c r="B30" s="124" t="s">
        <v>123</v>
      </c>
      <c r="C30" s="125"/>
      <c r="D30" s="125"/>
      <c r="E30" s="125"/>
      <c r="F30" s="126"/>
      <c r="G30" s="54">
        <v>742102.24033764005</v>
      </c>
      <c r="H30" s="14" t="s">
        <v>3</v>
      </c>
      <c r="I30" s="1"/>
    </row>
    <row r="31" spans="1:9" x14ac:dyDescent="0.25">
      <c r="A31" s="1"/>
      <c r="B31" s="124" t="s">
        <v>131</v>
      </c>
      <c r="C31" s="125"/>
      <c r="D31" s="125"/>
      <c r="E31" s="125"/>
      <c r="F31" s="126"/>
      <c r="G31" s="54">
        <f>(G29+G30)*'Fane 13. Nøgletal'!C24</f>
        <v>203369.19228878451</v>
      </c>
      <c r="H31" s="14" t="s">
        <v>3</v>
      </c>
      <c r="I31" s="1"/>
    </row>
    <row r="32" spans="1:9" x14ac:dyDescent="0.25">
      <c r="A32" s="1"/>
      <c r="B32" s="63"/>
      <c r="C32" s="64"/>
      <c r="D32" s="64"/>
      <c r="E32" s="64"/>
      <c r="F32" s="64"/>
      <c r="G32" s="57"/>
      <c r="H32" s="19"/>
      <c r="I32" s="1"/>
    </row>
    <row r="33" spans="1:9" x14ac:dyDescent="0.25">
      <c r="A33" s="1"/>
      <c r="B33" s="1"/>
      <c r="C33" s="1"/>
      <c r="D33" s="1"/>
      <c r="E33" s="1"/>
      <c r="F33" s="1"/>
      <c r="G33" s="58"/>
      <c r="H33" s="1"/>
      <c r="I33" s="1"/>
    </row>
    <row r="34" spans="1:9" x14ac:dyDescent="0.25">
      <c r="A34" s="1"/>
      <c r="B34" s="117" t="s">
        <v>135</v>
      </c>
      <c r="C34" s="118"/>
      <c r="D34" s="118"/>
      <c r="E34" s="118"/>
      <c r="F34" s="118"/>
      <c r="G34" s="130"/>
      <c r="H34" s="119"/>
      <c r="I34" s="1"/>
    </row>
    <row r="35" spans="1:9" x14ac:dyDescent="0.25">
      <c r="A35" s="1"/>
      <c r="B35" s="124" t="s">
        <v>72</v>
      </c>
      <c r="C35" s="125"/>
      <c r="D35" s="125"/>
      <c r="E35" s="125"/>
      <c r="F35" s="126"/>
      <c r="G35" s="54">
        <f>(G29+G30-G31)*(1+'Fane 13. Nøgletal'!C13)</f>
        <v>7279615.0284637529</v>
      </c>
      <c r="H35" s="14" t="s">
        <v>3</v>
      </c>
      <c r="I35" s="1"/>
    </row>
    <row r="36" spans="1:9" x14ac:dyDescent="0.25">
      <c r="A36" s="1"/>
      <c r="B36" s="124" t="s">
        <v>141</v>
      </c>
      <c r="C36" s="125"/>
      <c r="D36" s="125"/>
      <c r="E36" s="125"/>
      <c r="F36" s="126"/>
      <c r="G36" s="54">
        <f>SUM('Fane 3. Omkostninger i ØR2022'!E11)*(1+'Fane 13. Nøgletal'!C14)</f>
        <v>27384.849262450007</v>
      </c>
      <c r="H36" s="14" t="s">
        <v>3</v>
      </c>
      <c r="I36" s="1"/>
    </row>
    <row r="37" spans="1:9" x14ac:dyDescent="0.25">
      <c r="A37" s="1"/>
      <c r="B37" s="124" t="s">
        <v>136</v>
      </c>
      <c r="C37" s="125"/>
      <c r="D37" s="125"/>
      <c r="E37" s="125"/>
      <c r="F37" s="126"/>
      <c r="G37" s="54">
        <f>G35*'Fane 13. Nøgletal'!C24+G36*'Fane 13. Nøgletal'!C25</f>
        <v>200594.70905183748</v>
      </c>
      <c r="H37" s="14" t="s">
        <v>3</v>
      </c>
      <c r="I37" s="1"/>
    </row>
    <row r="38" spans="1:9" x14ac:dyDescent="0.25">
      <c r="A38" s="1"/>
      <c r="B38" s="63"/>
      <c r="C38" s="64"/>
      <c r="D38" s="64"/>
      <c r="E38" s="64"/>
      <c r="F38" s="64"/>
      <c r="G38" s="57"/>
      <c r="H38" s="19"/>
      <c r="I38" s="1"/>
    </row>
    <row r="39" spans="1:9" x14ac:dyDescent="0.25">
      <c r="A39" s="1"/>
      <c r="B39" s="1"/>
      <c r="C39" s="1"/>
      <c r="D39" s="1"/>
      <c r="E39" s="1"/>
      <c r="F39" s="1"/>
      <c r="G39" s="58"/>
      <c r="H39" s="1"/>
      <c r="I39" s="1"/>
    </row>
    <row r="40" spans="1:9" x14ac:dyDescent="0.25">
      <c r="A40" s="1"/>
      <c r="B40" s="117" t="s">
        <v>200</v>
      </c>
      <c r="C40" s="118"/>
      <c r="D40" s="118"/>
      <c r="E40" s="118"/>
      <c r="F40" s="118"/>
      <c r="G40" s="130"/>
      <c r="H40" s="119"/>
      <c r="I40" s="1"/>
    </row>
    <row r="41" spans="1:9" x14ac:dyDescent="0.25">
      <c r="A41" s="1"/>
      <c r="B41" s="124" t="s">
        <v>71</v>
      </c>
      <c r="C41" s="125"/>
      <c r="D41" s="125"/>
      <c r="E41" s="125"/>
      <c r="F41" s="126"/>
      <c r="G41" s="54">
        <f>(G35+G36-G37)*(1+'Fane 13. Nøgletal'!C15)</f>
        <v>7359393.1926791733</v>
      </c>
      <c r="H41" s="14" t="s">
        <v>3</v>
      </c>
      <c r="I41" s="1"/>
    </row>
    <row r="42" spans="1:9" x14ac:dyDescent="0.25">
      <c r="A42" s="1"/>
      <c r="B42" s="124" t="s">
        <v>211</v>
      </c>
      <c r="C42" s="125"/>
      <c r="D42" s="125"/>
      <c r="E42" s="125"/>
      <c r="F42" s="126"/>
      <c r="G42" s="59">
        <f>SUM('Fane 2.1. Økonomisk ramme 2023'!C10+'Fane 2.1. Økonomisk ramme 2023'!C12+'Fane 2.1. Økonomisk ramme 2023'!C14)*(1+'Fane 13. Nøgletal'!C15)</f>
        <v>55543.084574400003</v>
      </c>
      <c r="H42" s="14" t="s">
        <v>3</v>
      </c>
      <c r="I42" s="1"/>
    </row>
    <row r="43" spans="1:9" x14ac:dyDescent="0.25">
      <c r="A43" s="1"/>
      <c r="B43" s="124" t="s">
        <v>70</v>
      </c>
      <c r="C43" s="125"/>
      <c r="D43" s="125"/>
      <c r="E43" s="125"/>
      <c r="F43" s="126"/>
      <c r="G43" s="54">
        <f>(G41+G42)*'Fane 13. Nøgletal'!C26</f>
        <v>0</v>
      </c>
      <c r="H43" s="14" t="s">
        <v>3</v>
      </c>
      <c r="I43" s="1"/>
    </row>
    <row r="44" spans="1:9" x14ac:dyDescent="0.25">
      <c r="A44" s="1"/>
      <c r="B44" s="63"/>
      <c r="C44" s="64"/>
      <c r="D44" s="64"/>
      <c r="E44" s="64"/>
      <c r="F44" s="64"/>
      <c r="G44" s="57"/>
      <c r="H44" s="19"/>
      <c r="I44" s="1"/>
    </row>
    <row r="45" spans="1:9" ht="12" customHeight="1" x14ac:dyDescent="0.25">
      <c r="A45" s="1"/>
      <c r="B45" s="1"/>
      <c r="C45" s="1"/>
      <c r="D45" s="1"/>
      <c r="E45" s="1"/>
      <c r="F45" s="1"/>
      <c r="G45" s="58"/>
      <c r="H45" s="1"/>
      <c r="I45" s="1"/>
    </row>
    <row r="46" spans="1:9" x14ac:dyDescent="0.25">
      <c r="A46" s="1"/>
      <c r="B46" s="117" t="s">
        <v>201</v>
      </c>
      <c r="C46" s="118"/>
      <c r="D46" s="118"/>
      <c r="E46" s="118"/>
      <c r="F46" s="118"/>
      <c r="G46" s="130"/>
      <c r="H46" s="119"/>
      <c r="I46" s="1"/>
    </row>
    <row r="47" spans="1:9" x14ac:dyDescent="0.25">
      <c r="A47" s="1"/>
      <c r="B47" s="124" t="s">
        <v>124</v>
      </c>
      <c r="C47" s="125"/>
      <c r="D47" s="125"/>
      <c r="E47" s="125"/>
      <c r="F47" s="126"/>
      <c r="G47" s="54">
        <f>(G41+G42-G43)*(1+'Fane 13. Nøgletal'!C15)</f>
        <v>7678908.0087238019</v>
      </c>
      <c r="H47" s="14" t="s">
        <v>3</v>
      </c>
      <c r="I47" s="1"/>
    </row>
    <row r="48" spans="1:9" x14ac:dyDescent="0.25">
      <c r="A48" s="1"/>
      <c r="B48" s="124" t="s">
        <v>125</v>
      </c>
      <c r="C48" s="125"/>
      <c r="D48" s="125"/>
      <c r="E48" s="125"/>
      <c r="F48" s="126"/>
      <c r="G48" s="54">
        <f>(G47)*'Fane 13. Nøgletal'!C26</f>
        <v>0</v>
      </c>
      <c r="H48" s="14" t="s">
        <v>3</v>
      </c>
      <c r="I48" s="1"/>
    </row>
    <row r="49" spans="1:9" x14ac:dyDescent="0.25">
      <c r="A49" s="1"/>
      <c r="B49" s="63"/>
      <c r="C49" s="64"/>
      <c r="D49" s="64"/>
      <c r="E49" s="64"/>
      <c r="F49" s="64"/>
      <c r="G49" s="57"/>
      <c r="H49" s="19"/>
      <c r="I49" s="1"/>
    </row>
    <row r="50" spans="1:9" x14ac:dyDescent="0.25">
      <c r="A50" s="1"/>
      <c r="B50" s="1"/>
      <c r="C50" s="1"/>
      <c r="D50" s="1"/>
      <c r="E50" s="1"/>
      <c r="F50" s="1"/>
      <c r="G50" s="58"/>
      <c r="H50" s="1"/>
      <c r="I50" s="1"/>
    </row>
    <row r="51" spans="1:9" x14ac:dyDescent="0.25">
      <c r="A51" s="1"/>
      <c r="B51" s="117" t="s">
        <v>142</v>
      </c>
      <c r="C51" s="118"/>
      <c r="D51" s="118"/>
      <c r="E51" s="118"/>
      <c r="F51" s="118"/>
      <c r="G51" s="130"/>
      <c r="H51" s="119"/>
      <c r="I51" s="1"/>
    </row>
    <row r="52" spans="1:9" x14ac:dyDescent="0.25">
      <c r="A52" s="1"/>
      <c r="B52" s="124" t="s">
        <v>143</v>
      </c>
      <c r="C52" s="125"/>
      <c r="D52" s="125"/>
      <c r="E52" s="125"/>
      <c r="F52" s="126"/>
      <c r="G52" s="54">
        <f>(G47-G48)*(1+'Fane 13. Nøgletal'!C15)</f>
        <v>7952277.1338343695</v>
      </c>
      <c r="H52" s="14" t="s">
        <v>3</v>
      </c>
      <c r="I52" s="1"/>
    </row>
    <row r="53" spans="1:9" x14ac:dyDescent="0.25">
      <c r="A53" s="1"/>
      <c r="B53" s="124" t="s">
        <v>144</v>
      </c>
      <c r="C53" s="125"/>
      <c r="D53" s="125"/>
      <c r="E53" s="125"/>
      <c r="F53" s="126"/>
      <c r="G53" s="54">
        <f>(G52)*'Fane 13. Nøgletal'!C26</f>
        <v>0</v>
      </c>
      <c r="H53" s="14" t="s">
        <v>3</v>
      </c>
      <c r="I53" s="1"/>
    </row>
    <row r="54" spans="1:9" x14ac:dyDescent="0.25">
      <c r="A54" s="1"/>
      <c r="B54" s="63"/>
      <c r="C54" s="64"/>
      <c r="D54" s="64"/>
      <c r="E54" s="64"/>
      <c r="F54" s="64"/>
      <c r="G54" s="57"/>
      <c r="H54" s="19"/>
      <c r="I54" s="1"/>
    </row>
    <row r="55" spans="1:9" x14ac:dyDescent="0.25">
      <c r="A55" s="1"/>
      <c r="B55" s="1"/>
      <c r="C55" s="1"/>
      <c r="D55" s="1"/>
      <c r="E55" s="1"/>
      <c r="F55" s="1"/>
      <c r="G55" s="58"/>
      <c r="H55" s="1"/>
      <c r="I55" s="1"/>
    </row>
    <row r="56" spans="1:9" x14ac:dyDescent="0.25">
      <c r="A56" s="1"/>
      <c r="B56" s="117" t="s">
        <v>177</v>
      </c>
      <c r="C56" s="118"/>
      <c r="D56" s="118"/>
      <c r="E56" s="118"/>
      <c r="F56" s="118"/>
      <c r="G56" s="130"/>
      <c r="H56" s="119"/>
      <c r="I56" s="1"/>
    </row>
    <row r="57" spans="1:9" x14ac:dyDescent="0.25">
      <c r="A57" s="1"/>
      <c r="B57" s="124" t="s">
        <v>178</v>
      </c>
      <c r="C57" s="125"/>
      <c r="D57" s="125"/>
      <c r="E57" s="125"/>
      <c r="F57" s="126"/>
      <c r="G57" s="54">
        <f>(G52-G53)*(1+'Fane 13. Nøgletal'!C15)</f>
        <v>8235378.1997988736</v>
      </c>
      <c r="H57" s="14" t="s">
        <v>3</v>
      </c>
      <c r="I57" s="1"/>
    </row>
    <row r="58" spans="1:9" x14ac:dyDescent="0.25">
      <c r="A58" s="1"/>
      <c r="B58" s="124" t="s">
        <v>179</v>
      </c>
      <c r="C58" s="125"/>
      <c r="D58" s="125"/>
      <c r="E58" s="125"/>
      <c r="F58" s="126"/>
      <c r="G58" s="54">
        <f>(G57)*'Fane 13. Nøgletal'!C26</f>
        <v>0</v>
      </c>
      <c r="H58" s="14" t="s">
        <v>3</v>
      </c>
      <c r="I58" s="1"/>
    </row>
    <row r="59" spans="1:9" x14ac:dyDescent="0.25">
      <c r="A59" s="1"/>
      <c r="B59" s="63"/>
      <c r="C59" s="64"/>
      <c r="D59" s="64"/>
      <c r="E59" s="64"/>
      <c r="F59" s="64"/>
      <c r="G59" s="64"/>
      <c r="H59" s="19"/>
      <c r="I59" s="1"/>
    </row>
    <row r="60" spans="1:9" x14ac:dyDescent="0.25">
      <c r="A60" s="1"/>
      <c r="B60" s="1"/>
      <c r="C60" s="1"/>
      <c r="D60" s="1"/>
      <c r="E60" s="1"/>
      <c r="F60" s="1"/>
      <c r="G60" s="1"/>
      <c r="H60" s="1"/>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sheetData>
  <sheetProtection algorithmName="SHA-512" hashValue="pnMNiZXHHGZWlLzzwDQEuAmg+lyLzU9nzaATx+1PMlVbw8Y8iwozs90H6eSJtQ1hTcM2Oaq1a5UBlVH/qSmCCw==" saltValue="m2hBzU1EWx83rDhOyib+UA==" spinCount="100000" sheet="1" objects="1" scenarios="1"/>
  <mergeCells count="38">
    <mergeCell ref="B56:H56"/>
    <mergeCell ref="B57:F57"/>
    <mergeCell ref="B58:F58"/>
    <mergeCell ref="B1:H3"/>
    <mergeCell ref="B51:H51"/>
    <mergeCell ref="B52:F52"/>
    <mergeCell ref="B53:F53"/>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8:F48"/>
    <mergeCell ref="B36:F36"/>
    <mergeCell ref="B42:F42"/>
    <mergeCell ref="B41:F41"/>
    <mergeCell ref="B40:H40"/>
    <mergeCell ref="B37:F37"/>
    <mergeCell ref="B46:H46"/>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8" t="s">
        <v>82</v>
      </c>
      <c r="C3" s="98"/>
      <c r="D3" s="98"/>
      <c r="E3" s="98"/>
      <c r="F3" s="98"/>
      <c r="G3" s="98"/>
      <c r="H3" s="1"/>
    </row>
    <row r="4" spans="1:8" ht="15" customHeight="1" x14ac:dyDescent="0.25">
      <c r="A4" s="1"/>
      <c r="B4" s="98"/>
      <c r="C4" s="98"/>
      <c r="D4" s="98"/>
      <c r="E4" s="98"/>
      <c r="F4" s="98"/>
      <c r="G4" s="98"/>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7" t="s">
        <v>9</v>
      </c>
      <c r="C8" s="118"/>
      <c r="D8" s="118"/>
      <c r="E8" s="118"/>
      <c r="F8" s="118"/>
      <c r="G8" s="118"/>
      <c r="H8" s="1"/>
    </row>
    <row r="9" spans="1:8" x14ac:dyDescent="0.25">
      <c r="A9" s="1"/>
      <c r="B9" s="72" t="s">
        <v>180</v>
      </c>
      <c r="C9" s="73"/>
      <c r="D9" s="73"/>
      <c r="E9" s="73"/>
      <c r="F9" s="74"/>
      <c r="G9" s="28">
        <v>0.02</v>
      </c>
      <c r="H9" s="1"/>
    </row>
    <row r="10" spans="1:8" x14ac:dyDescent="0.25">
      <c r="A10" s="1"/>
      <c r="B10" s="63"/>
      <c r="C10" s="64"/>
      <c r="D10" s="64"/>
      <c r="E10" s="64"/>
      <c r="F10" s="64"/>
      <c r="G10" s="64"/>
      <c r="H10" s="1"/>
    </row>
    <row r="11" spans="1:8" x14ac:dyDescent="0.25">
      <c r="A11" s="1"/>
      <c r="B11" s="1"/>
      <c r="C11" s="1"/>
      <c r="D11" s="1"/>
      <c r="E11" s="1"/>
      <c r="F11" s="1"/>
      <c r="G11" s="1"/>
      <c r="H11" s="1"/>
    </row>
    <row r="12" spans="1:8" ht="31.5" customHeight="1" x14ac:dyDescent="0.25">
      <c r="A12" s="1"/>
      <c r="B12" s="134" t="s">
        <v>202</v>
      </c>
      <c r="C12" s="134"/>
      <c r="D12" s="134"/>
      <c r="E12" s="134"/>
      <c r="F12" s="134"/>
      <c r="G12" s="134"/>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XolTwsT/lIWZvU9QnmiOl71hjP2/AiIIyKIHfNa4Nv8X0V5gbE4z+5NfAz0KE9tM0rGKHhAw7esVW2s18T/z0Q==" saltValue="1xO2r+2uWjBxOtXldPYn+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2022-12-01T09:10:28Z</dcterms:modified>
</cp:coreProperties>
</file>