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0" yWindow="90" windowWidth="19440" windowHeight="9870" tabRatio="88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6" i="7" l="1"/>
  <c r="G10" i="7"/>
  <c r="G15" i="7" l="1"/>
  <c r="G14" i="7"/>
  <c r="G13" i="7"/>
  <c r="G19" i="7"/>
  <c r="G21" i="7"/>
  <c r="G20" i="7"/>
  <c r="G30" i="13" l="1"/>
  <c r="E15" i="6" l="1"/>
  <c r="E15" i="5"/>
  <c r="E15" i="4"/>
  <c r="G10" i="9"/>
  <c r="G36" i="13"/>
  <c r="E15" i="13" l="1"/>
  <c r="E35" i="13" l="1"/>
  <c r="G35" i="13" s="1"/>
  <c r="E27" i="13"/>
  <c r="E19" i="13"/>
  <c r="G11" i="12"/>
  <c r="E16" i="2" s="1"/>
  <c r="G23" i="12"/>
  <c r="E18" i="2" s="1"/>
  <c r="G17" i="12"/>
  <c r="E17" i="2" s="1"/>
  <c r="F11" i="11"/>
  <c r="F12" i="11"/>
  <c r="F10" i="11"/>
  <c r="G13" i="10"/>
  <c r="E14" i="2" s="1"/>
  <c r="G14" i="2" s="1"/>
  <c r="G2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13" i="11"/>
  <c r="G29" i="12" s="1"/>
  <c r="G30" i="12" s="1"/>
  <c r="E19" i="2" s="1"/>
  <c r="E20" i="2" s="1"/>
  <c r="G20" i="2" s="1"/>
  <c r="G9" i="9"/>
  <c r="E9" i="2"/>
  <c r="G11" i="9" l="1"/>
  <c r="E11" i="2" s="1"/>
  <c r="E9" i="4" l="1"/>
  <c r="E12" i="4" s="1"/>
  <c r="E9" i="5" s="1"/>
  <c r="E12" i="2"/>
  <c r="G12" i="2" s="1"/>
  <c r="G23" i="2" s="1"/>
  <c r="E11" i="4" l="1"/>
  <c r="E13" i="4" s="1"/>
  <c r="G13" i="4" s="1"/>
  <c r="G16" i="4" s="1"/>
  <c r="E11" i="5"/>
  <c r="E12" i="5"/>
  <c r="E9" i="6" s="1"/>
  <c r="E12" i="6" l="1"/>
  <c r="E11" i="6"/>
  <c r="E13" i="5"/>
  <c r="G13" i="5" s="1"/>
  <c r="G16" i="5" s="1"/>
  <c r="E13" i="6" l="1"/>
  <c r="G13" i="6" s="1"/>
  <c r="G16" i="6" s="1"/>
</calcChain>
</file>

<file path=xl/sharedStrings.xml><?xml version="1.0" encoding="utf-8"?>
<sst xmlns="http://schemas.openxmlformats.org/spreadsheetml/2006/main" count="267" uniqueCount="125">
  <si>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</si>
  <si>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</si>
  <si>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</si>
  <si>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</si>
  <si>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</si>
  <si>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</si>
  <si>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</si>
  <si>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</si>
  <si>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</si>
  <si>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</si>
  <si>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</si>
  <si>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</si>
  <si>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</si>
  <si>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</si>
  <si>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</si>
  <si>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</si>
  <si>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</si>
  <si>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</si>
  <si>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</si>
  <si>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</si>
  <si>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</si>
  <si>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</si>
  <si>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</si>
  <si>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</si>
  <si>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</si>
  <si>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</si>
  <si>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</si>
  <si>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</si>
  <si>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</si>
  <si>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</si>
  <si>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</si>
  <si>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</si>
  <si>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</si>
  <si>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</si>
  <si>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</si>
  <si>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</si>
  <si>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</si>
  <si>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</si>
  <si>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</si>
  <si>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</si>
  <si>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</si>
  <si>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</si>
  <si>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</si>
  <si>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</si>
  <si>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</si>
  <si>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</si>
  <si>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</si>
  <si>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</si>
  <si>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</si>
  <si>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</si>
  <si>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</si>
  <si>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</si>
  <si>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</si>
  <si>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</si>
  <si>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</si>
  <si>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</si>
  <si>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</si>
  <si>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</si>
  <si>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</si>
  <si>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</si>
  <si>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</si>
  <si>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</si>
  <si>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</si>
  <si>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</si>
  <si>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</si>
  <si>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</si>
  <si>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</si>
  <si>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</si>
  <si>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</si>
  <si>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</si>
  <si>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</si>
  <si>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</si>
  <si>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</si>
  <si>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</si>
  <si>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</si>
  <si>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</si>
  <si>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</si>
  <si>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</si>
  <si>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</si>
  <si>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</si>
  <si>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</si>
  <si>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</si>
  <si>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</si>
  <si>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</si>
  <si>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</si>
  <si>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</si>
  <si>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</si>
  <si>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</si>
  <si>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</si>
  <si>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</si>
  <si>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</si>
  <si>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</si>
  <si>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</si>
  <si>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</si>
  <si>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</si>
  <si>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</si>
  <si>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</si>
  <si>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</si>
  <si>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</si>
  <si>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</si>
  <si>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</si>
  <si>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</si>
  <si>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</si>
  <si>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</si>
  <si>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</si>
  <si>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</si>
  <si>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</si>
  <si>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</si>
  <si>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</si>
  <si>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</si>
  <si>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Hegn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</si>
  <si>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</si>
  <si>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</si>
  <si>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</si>
  <si>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</si>
  <si>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</si>
  <si>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</si>
  <si>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</si>
  <si>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</si>
  <si>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</si>
  <si>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Galten Vandværk</t>
  </si>
  <si>
    <t>Nr. Vissing Vandværk</t>
  </si>
  <si>
    <t xml:space="preserve">Grundlag efter fusion </t>
  </si>
  <si>
    <t>Beregningen af de enkelte komponenter for Galten Vandværk fremgår af jeres bilag B.</t>
  </si>
  <si>
    <t>Beregningen af de enkelte komponenter for Nr. Vissing Vandværk fremgår af jeres bilag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</si>
</sst>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>
      <selection activeCell="D17" sqref="D17:G17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108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DFE9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117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1896732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1706450</v>
      </c>
      <c r="H10" s="10" t="s">
        <v>4</v>
      </c>
      <c r="I10" s="1"/>
    </row>
    <row r="11" spans="1:9" x14ac:dyDescent="0.25">
      <c r="A11" s="1"/>
      <c r="B11" s="71" t="s">
        <v>83</v>
      </c>
      <c r="C11" s="72"/>
      <c r="D11" s="72"/>
      <c r="E11" s="72"/>
      <c r="F11" s="73"/>
      <c r="G11" s="34">
        <f>G9-G10</f>
        <v>190282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-10347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-15000</v>
      </c>
      <c r="H16" s="10" t="s">
        <v>4</v>
      </c>
      <c r="I16" s="1"/>
    </row>
    <row r="17" spans="1:9" x14ac:dyDescent="0.25">
      <c r="A17" s="1"/>
      <c r="B17" s="71" t="s">
        <v>87</v>
      </c>
      <c r="C17" s="72"/>
      <c r="D17" s="72"/>
      <c r="E17" s="72"/>
      <c r="F17" s="73"/>
      <c r="G17" s="34">
        <f>G15-G16</f>
        <v>4653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1" t="s">
        <v>96</v>
      </c>
      <c r="C23" s="72"/>
      <c r="D23" s="72"/>
      <c r="E23" s="72"/>
      <c r="F23" s="7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4000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25667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2015'!F13</f>
        <v>7748.1466666666665</v>
      </c>
      <c r="H29" s="10" t="s">
        <v>4</v>
      </c>
      <c r="I29" s="1"/>
    </row>
    <row r="30" spans="1:9" x14ac:dyDescent="0.25">
      <c r="A30" s="1"/>
      <c r="B30" s="71" t="s">
        <v>88</v>
      </c>
      <c r="C30" s="72"/>
      <c r="D30" s="72"/>
      <c r="E30" s="72"/>
      <c r="F30" s="73"/>
      <c r="G30" s="34">
        <f>G29-G27+G29-G28</f>
        <v>-14170.706666666667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118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49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4102062</v>
      </c>
      <c r="H9" s="16" t="s">
        <v>4</v>
      </c>
      <c r="I9" s="1"/>
    </row>
    <row r="10" spans="1:9" x14ac:dyDescent="0.25">
      <c r="A10" s="1"/>
      <c r="B10" s="71" t="s">
        <v>52</v>
      </c>
      <c r="C10" s="72"/>
      <c r="D10" s="72"/>
      <c r="E10" s="72"/>
      <c r="F10" s="72"/>
      <c r="G10" s="72"/>
      <c r="H10" s="73"/>
      <c r="I10" s="1"/>
    </row>
    <row r="11" spans="1:9" x14ac:dyDescent="0.25">
      <c r="A11" s="1"/>
      <c r="B11" s="78" t="s">
        <v>53</v>
      </c>
      <c r="C11" s="79"/>
      <c r="D11" s="80"/>
      <c r="E11" s="36">
        <v>1374831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210269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-16973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88667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1656794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1623369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35500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1658869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-561235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-204333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-765568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2550095</v>
      </c>
      <c r="F28" s="16" t="s">
        <v>4</v>
      </c>
      <c r="G28" s="31">
        <f>IF(E28&lt;0,0,-E28)</f>
        <v>-2550095</v>
      </c>
      <c r="H28" s="16" t="s">
        <v>4</v>
      </c>
      <c r="I28" s="1"/>
    </row>
    <row r="29" spans="1:9" x14ac:dyDescent="0.25">
      <c r="A29" s="1"/>
      <c r="B29" s="71" t="s">
        <v>71</v>
      </c>
      <c r="C29" s="72"/>
      <c r="D29" s="72"/>
      <c r="E29" s="72"/>
      <c r="F29" s="72"/>
      <c r="G29" s="72"/>
      <c r="H29" s="73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112</v>
      </c>
      <c r="C31" s="72"/>
      <c r="D31" s="72"/>
      <c r="E31" s="72"/>
      <c r="F31" s="72"/>
      <c r="G31" s="72"/>
      <c r="H31" s="7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3649466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94965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3744431</v>
      </c>
      <c r="F35" s="16" t="s">
        <v>4</v>
      </c>
      <c r="G35" s="33">
        <f>-E35</f>
        <v>-3744431</v>
      </c>
      <c r="H35" s="16" t="s">
        <v>4</v>
      </c>
      <c r="I35" s="1"/>
    </row>
    <row r="36" spans="1:9" x14ac:dyDescent="0.25">
      <c r="A36" s="1"/>
      <c r="B36" s="71" t="s">
        <v>50</v>
      </c>
      <c r="C36" s="72"/>
      <c r="D36" s="72"/>
      <c r="E36" s="72"/>
      <c r="F36" s="73"/>
      <c r="G36" s="34">
        <f>$G$9+$G$28+$G$30+$G$35</f>
        <v>-2192464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topLeftCell="A4" zoomScaleNormal="100" workbookViewId="0">
      <selection activeCell="G23" sqref="G23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119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106</v>
      </c>
      <c r="C8" s="72"/>
      <c r="D8" s="72"/>
      <c r="E8" s="72"/>
      <c r="F8" s="72"/>
      <c r="G8" s="72"/>
      <c r="H8" s="7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Grundlag'!G22</f>
        <v>5568099.6302924268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Grundlag'!G21</f>
        <v>2024549.3941797798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60240.354013914999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5507859.2762785116</v>
      </c>
      <c r="F12" s="17" t="s">
        <v>4</v>
      </c>
      <c r="G12" s="33">
        <f>E12</f>
        <v>5507859.2762785116</v>
      </c>
      <c r="H12" s="17" t="s">
        <v>4</v>
      </c>
      <c r="I12" s="1"/>
    </row>
    <row r="13" spans="1:9" x14ac:dyDescent="0.25">
      <c r="A13" s="1"/>
      <c r="B13" s="71" t="s">
        <v>32</v>
      </c>
      <c r="C13" s="72"/>
      <c r="D13" s="72"/>
      <c r="E13" s="72"/>
      <c r="F13" s="72"/>
      <c r="G13" s="72"/>
      <c r="H13" s="73"/>
      <c r="I13" s="1"/>
    </row>
    <row r="14" spans="1:9" x14ac:dyDescent="0.25">
      <c r="A14" s="1"/>
      <c r="B14" s="75" t="s">
        <v>105</v>
      </c>
      <c r="C14" s="76"/>
      <c r="D14" s="77"/>
      <c r="E14" s="33">
        <f>'Fane 5. Hist. over el. underdæk'!G13</f>
        <v>-165079.75</v>
      </c>
      <c r="F14" s="17" t="s">
        <v>4</v>
      </c>
      <c r="G14" s="33">
        <f>E14</f>
        <v>-165079.75</v>
      </c>
      <c r="H14" s="17" t="s">
        <v>4</v>
      </c>
      <c r="I14" s="1"/>
    </row>
    <row r="15" spans="1:9" x14ac:dyDescent="0.25">
      <c r="A15" s="1"/>
      <c r="B15" s="71" t="s">
        <v>29</v>
      </c>
      <c r="C15" s="72"/>
      <c r="D15" s="72"/>
      <c r="E15" s="72"/>
      <c r="F15" s="72"/>
      <c r="G15" s="72"/>
      <c r="H15" s="7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190282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4653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-14170.706666666667</v>
      </c>
      <c r="F19" s="7" t="s">
        <v>4</v>
      </c>
      <c r="G19" s="14"/>
      <c r="H19" s="15"/>
      <c r="I19" s="1"/>
    </row>
    <row r="20" spans="1:9" x14ac:dyDescent="0.25">
      <c r="A20" s="1"/>
      <c r="B20" s="75" t="s">
        <v>38</v>
      </c>
      <c r="C20" s="76"/>
      <c r="D20" s="77"/>
      <c r="E20" s="33">
        <f>SUM(E16:E19)</f>
        <v>180764.29333333333</v>
      </c>
      <c r="F20" s="17" t="s">
        <v>4</v>
      </c>
      <c r="G20" s="33">
        <f>E20</f>
        <v>180764.29333333333</v>
      </c>
      <c r="H20" s="17" t="s">
        <v>4</v>
      </c>
      <c r="I20" s="1"/>
    </row>
    <row r="21" spans="1:9" x14ac:dyDescent="0.25">
      <c r="A21" s="1"/>
      <c r="B21" s="71" t="s">
        <v>33</v>
      </c>
      <c r="C21" s="72"/>
      <c r="D21" s="72"/>
      <c r="E21" s="72"/>
      <c r="F21" s="72"/>
      <c r="G21" s="72"/>
      <c r="H21" s="73"/>
      <c r="I21" s="1"/>
    </row>
    <row r="22" spans="1:9" x14ac:dyDescent="0.25">
      <c r="A22" s="1"/>
      <c r="B22" s="75" t="s">
        <v>34</v>
      </c>
      <c r="C22" s="76"/>
      <c r="D22" s="77"/>
      <c r="E22" s="33">
        <f>'Fane 8. Kontrol af PL2015'!G36</f>
        <v>-2192464</v>
      </c>
      <c r="F22" s="17" t="s">
        <v>4</v>
      </c>
      <c r="G22" s="33">
        <f>E22</f>
        <v>-2192464</v>
      </c>
      <c r="H22" s="17" t="s">
        <v>4</v>
      </c>
      <c r="I22" s="1"/>
    </row>
    <row r="23" spans="1:9" x14ac:dyDescent="0.25">
      <c r="A23" s="1"/>
      <c r="B23" s="71" t="s">
        <v>39</v>
      </c>
      <c r="C23" s="72"/>
      <c r="D23" s="72"/>
      <c r="E23" s="72"/>
      <c r="F23" s="73"/>
      <c r="G23" s="34">
        <f>G12+G14+G20+G22</f>
        <v>3331079.8196118446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106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5507859.2762785116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2024549.3941797798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69949.812808737101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59968.314599223551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5517840.7744880253</v>
      </c>
      <c r="F13" s="17" t="s">
        <v>4</v>
      </c>
      <c r="G13" s="33">
        <f>E13</f>
        <v>5517840.7744880253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105</v>
      </c>
      <c r="C15" s="76"/>
      <c r="D15" s="77"/>
      <c r="E15" s="37">
        <f>IF('Fane 5. Hist. over el. underdæk'!$G$12&gt;1,'Fane 5. Hist. over el. underdæk'!$G$13,0)</f>
        <v>-165079.75</v>
      </c>
      <c r="F15" s="17" t="s">
        <v>4</v>
      </c>
      <c r="G15" s="33">
        <f>E15</f>
        <v>-165079.75</v>
      </c>
      <c r="H15" s="17" t="s">
        <v>4</v>
      </c>
      <c r="I15" s="1"/>
    </row>
    <row r="16" spans="1:9" x14ac:dyDescent="0.25">
      <c r="A16" s="1"/>
      <c r="B16" s="71" t="s">
        <v>42</v>
      </c>
      <c r="C16" s="72"/>
      <c r="D16" s="72"/>
      <c r="E16" s="72"/>
      <c r="F16" s="73"/>
      <c r="G16" s="34">
        <f>G13+G15</f>
        <v>5352761.0244880253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DFE9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G15" sqref="G15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9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106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5517840.7744880253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2050261.1714858629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70076.577835997916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59697.503687324934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5528219.848636698</v>
      </c>
      <c r="F13" s="17" t="s">
        <v>4</v>
      </c>
      <c r="G13" s="33">
        <f>E13</f>
        <v>5528219.848636698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105</v>
      </c>
      <c r="C15" s="76"/>
      <c r="D15" s="77"/>
      <c r="E15" s="37">
        <f>IF('Fane 5. Hist. over el. underdæk'!$G$12&gt;2,'Fane 5. Hist. over el. underdæk'!$G$13,0)</f>
        <v>-165079.75</v>
      </c>
      <c r="F15" s="17" t="s">
        <v>4</v>
      </c>
      <c r="G15" s="33">
        <f>E15</f>
        <v>-165079.75</v>
      </c>
      <c r="H15" s="17" t="s">
        <v>4</v>
      </c>
      <c r="I15" s="1"/>
    </row>
    <row r="16" spans="1:9" x14ac:dyDescent="0.25">
      <c r="A16" s="1"/>
      <c r="B16" s="71" t="s">
        <v>45</v>
      </c>
      <c r="C16" s="72"/>
      <c r="D16" s="72"/>
      <c r="E16" s="72"/>
      <c r="F16" s="73"/>
      <c r="G16" s="34">
        <f>G13+G15</f>
        <v>5363140.098636698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DFE9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106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5528219.848636698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2076299.4883637333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70208.392077686061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59427.91573042333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5539000.3249839609</v>
      </c>
      <c r="F13" s="17" t="s">
        <v>4</v>
      </c>
      <c r="G13" s="33">
        <f>E13</f>
        <v>5539000.3249839609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105</v>
      </c>
      <c r="C15" s="76"/>
      <c r="D15" s="77"/>
      <c r="E15" s="37">
        <f>IF('Fane 5. Hist. over el. underdæk'!$G$12&gt;3,'Fane 5. Hist. over el. underdæk'!$G$13,0)</f>
        <v>-165079.75</v>
      </c>
      <c r="F15" s="17" t="s">
        <v>4</v>
      </c>
      <c r="G15" s="33">
        <f>E15</f>
        <v>-165079.75</v>
      </c>
      <c r="H15" s="17" t="s">
        <v>4</v>
      </c>
      <c r="I15" s="1"/>
    </row>
    <row r="16" spans="1:9" x14ac:dyDescent="0.25">
      <c r="A16" s="1"/>
      <c r="B16" s="71" t="s">
        <v>47</v>
      </c>
      <c r="C16" s="72"/>
      <c r="D16" s="72"/>
      <c r="E16" s="72"/>
      <c r="F16" s="73"/>
      <c r="G16" s="34">
        <f>G13+G15</f>
        <v>5373920.5749839609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DFE9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4"/>
  <sheetViews>
    <sheetView view="pageLayout" zoomScaleNormal="100" workbookViewId="0">
      <selection activeCell="G22" sqref="G22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7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ht="13.5" customHeight="1" x14ac:dyDescent="0.25">
      <c r="A5" s="1"/>
      <c r="B5" s="43"/>
      <c r="C5" s="43"/>
      <c r="D5" s="43"/>
      <c r="E5" s="43"/>
      <c r="F5" s="43"/>
      <c r="G5" s="43"/>
      <c r="H5" s="43"/>
      <c r="I5" s="1"/>
    </row>
    <row r="6" spans="1:9" ht="13.5" customHeight="1" x14ac:dyDescent="0.25">
      <c r="A6" s="1"/>
      <c r="B6" s="71" t="s">
        <v>120</v>
      </c>
      <c r="C6" s="72"/>
      <c r="D6" s="72"/>
      <c r="E6" s="72"/>
      <c r="F6" s="72"/>
      <c r="G6" s="72"/>
      <c r="H6" s="73"/>
      <c r="I6" s="1"/>
    </row>
    <row r="7" spans="1:9" ht="13.5" customHeight="1" x14ac:dyDescent="0.25">
      <c r="A7" s="1"/>
      <c r="B7" s="78" t="s">
        <v>100</v>
      </c>
      <c r="C7" s="79"/>
      <c r="D7" s="79"/>
      <c r="E7" s="79"/>
      <c r="F7" s="80"/>
      <c r="G7" s="36">
        <v>1552521.2857093567</v>
      </c>
      <c r="H7" s="10" t="s">
        <v>4</v>
      </c>
      <c r="I7" s="1"/>
    </row>
    <row r="8" spans="1:9" ht="13.5" customHeight="1" x14ac:dyDescent="0.25">
      <c r="A8" s="1"/>
      <c r="B8" s="78" t="s">
        <v>101</v>
      </c>
      <c r="C8" s="79"/>
      <c r="D8" s="79"/>
      <c r="E8" s="79"/>
      <c r="F8" s="80"/>
      <c r="G8" s="36">
        <v>1625596.1554032899</v>
      </c>
      <c r="H8" s="10" t="s">
        <v>4</v>
      </c>
      <c r="I8" s="1"/>
    </row>
    <row r="9" spans="1:9" ht="13.5" customHeight="1" x14ac:dyDescent="0.25">
      <c r="A9" s="1"/>
      <c r="B9" s="78" t="s">
        <v>102</v>
      </c>
      <c r="C9" s="79"/>
      <c r="D9" s="79"/>
      <c r="E9" s="79"/>
      <c r="F9" s="80"/>
      <c r="G9" s="36">
        <v>1886801.9401797799</v>
      </c>
      <c r="H9" s="10" t="s">
        <v>4</v>
      </c>
      <c r="I9" s="1"/>
    </row>
    <row r="10" spans="1:9" ht="13.5" customHeight="1" x14ac:dyDescent="0.25">
      <c r="A10" s="1"/>
      <c r="B10" s="71" t="s">
        <v>48</v>
      </c>
      <c r="C10" s="72"/>
      <c r="D10" s="72"/>
      <c r="E10" s="72"/>
      <c r="F10" s="73"/>
      <c r="G10" s="34">
        <f>SUM(G7:G9)</f>
        <v>5064919.381292427</v>
      </c>
      <c r="H10" s="18" t="s">
        <v>4</v>
      </c>
      <c r="I10" s="1"/>
    </row>
    <row r="11" spans="1:9" ht="13.5" customHeight="1" x14ac:dyDescent="0.25">
      <c r="A11" s="1"/>
      <c r="B11" s="43"/>
      <c r="C11" s="43"/>
      <c r="D11" s="43"/>
      <c r="E11" s="43"/>
      <c r="F11" s="43"/>
      <c r="G11" s="43"/>
      <c r="H11" s="43"/>
      <c r="I11" s="1"/>
    </row>
    <row r="12" spans="1:9" ht="13.5" customHeight="1" x14ac:dyDescent="0.25">
      <c r="A12" s="1"/>
      <c r="B12" s="71" t="s">
        <v>121</v>
      </c>
      <c r="C12" s="72"/>
      <c r="D12" s="72"/>
      <c r="E12" s="72"/>
      <c r="F12" s="72"/>
      <c r="G12" s="72"/>
      <c r="H12" s="73"/>
      <c r="I12" s="1"/>
    </row>
    <row r="13" spans="1:9" ht="13.5" customHeight="1" x14ac:dyDescent="0.25">
      <c r="A13" s="1"/>
      <c r="B13" s="78" t="s">
        <v>100</v>
      </c>
      <c r="C13" s="79"/>
      <c r="D13" s="79"/>
      <c r="E13" s="79"/>
      <c r="F13" s="80"/>
      <c r="G13" s="36">
        <f>195323*1.0127</f>
        <v>197803.60209999999</v>
      </c>
      <c r="H13" s="10" t="s">
        <v>4</v>
      </c>
      <c r="I13" s="1"/>
    </row>
    <row r="14" spans="1:9" ht="13.5" customHeight="1" x14ac:dyDescent="0.25">
      <c r="A14" s="1"/>
      <c r="B14" s="78" t="s">
        <v>101</v>
      </c>
      <c r="C14" s="79"/>
      <c r="D14" s="79"/>
      <c r="E14" s="79"/>
      <c r="F14" s="80"/>
      <c r="G14" s="36">
        <f>165527*1.0127</f>
        <v>167629.19289999999</v>
      </c>
      <c r="H14" s="10" t="s">
        <v>4</v>
      </c>
      <c r="I14" s="1"/>
    </row>
    <row r="15" spans="1:9" ht="15" customHeight="1" x14ac:dyDescent="0.25">
      <c r="A15" s="1"/>
      <c r="B15" s="78" t="s">
        <v>102</v>
      </c>
      <c r="C15" s="79"/>
      <c r="D15" s="79"/>
      <c r="E15" s="79"/>
      <c r="F15" s="80"/>
      <c r="G15" s="36">
        <f>136020*1.0127</f>
        <v>137747.454</v>
      </c>
      <c r="H15" s="10" t="s">
        <v>4</v>
      </c>
      <c r="I15" s="1"/>
    </row>
    <row r="16" spans="1:9" ht="15" customHeight="1" x14ac:dyDescent="0.25">
      <c r="A16" s="1"/>
      <c r="B16" s="71" t="s">
        <v>48</v>
      </c>
      <c r="C16" s="72"/>
      <c r="D16" s="72"/>
      <c r="E16" s="72"/>
      <c r="F16" s="73"/>
      <c r="G16" s="34">
        <f>SUM(G13:G15)</f>
        <v>503180.24899999995</v>
      </c>
      <c r="H16" s="18" t="s">
        <v>4</v>
      </c>
      <c r="I16" s="1"/>
    </row>
    <row r="17" spans="1:9" ht="15" customHeight="1" x14ac:dyDescent="0.25">
      <c r="A17" s="1"/>
      <c r="B17" s="43"/>
      <c r="C17" s="43"/>
      <c r="D17" s="43"/>
      <c r="E17" s="43"/>
      <c r="F17" s="43"/>
      <c r="G17" s="43"/>
      <c r="H17" s="43"/>
      <c r="I17" s="1"/>
    </row>
    <row r="18" spans="1:9" x14ac:dyDescent="0.25">
      <c r="A18" s="1"/>
      <c r="B18" s="71" t="s">
        <v>122</v>
      </c>
      <c r="C18" s="72"/>
      <c r="D18" s="72"/>
      <c r="E18" s="72"/>
      <c r="F18" s="72"/>
      <c r="G18" s="72"/>
      <c r="H18" s="73"/>
      <c r="I18" s="1"/>
    </row>
    <row r="19" spans="1:9" x14ac:dyDescent="0.25">
      <c r="A19" s="1"/>
      <c r="B19" s="78" t="s">
        <v>100</v>
      </c>
      <c r="C19" s="79"/>
      <c r="D19" s="79"/>
      <c r="E19" s="79"/>
      <c r="F19" s="80"/>
      <c r="G19" s="36">
        <f>G13+G7</f>
        <v>1750324.8878093567</v>
      </c>
      <c r="H19" s="10" t="s">
        <v>4</v>
      </c>
      <c r="I19" s="1"/>
    </row>
    <row r="20" spans="1:9" x14ac:dyDescent="0.25">
      <c r="A20" s="1"/>
      <c r="B20" s="78" t="s">
        <v>101</v>
      </c>
      <c r="C20" s="79"/>
      <c r="D20" s="79"/>
      <c r="E20" s="79"/>
      <c r="F20" s="80"/>
      <c r="G20" s="36">
        <f>G14+G8</f>
        <v>1793225.3483032899</v>
      </c>
      <c r="H20" s="10" t="s">
        <v>4</v>
      </c>
      <c r="I20" s="1"/>
    </row>
    <row r="21" spans="1:9" x14ac:dyDescent="0.25">
      <c r="A21" s="1"/>
      <c r="B21" s="78" t="s">
        <v>102</v>
      </c>
      <c r="C21" s="79"/>
      <c r="D21" s="79"/>
      <c r="E21" s="79"/>
      <c r="F21" s="80"/>
      <c r="G21" s="36">
        <f>G15+G9</f>
        <v>2024549.3941797798</v>
      </c>
      <c r="H21" s="10" t="s">
        <v>4</v>
      </c>
      <c r="I21" s="1"/>
    </row>
    <row r="22" spans="1:9" x14ac:dyDescent="0.25">
      <c r="A22" s="1"/>
      <c r="B22" s="71" t="s">
        <v>48</v>
      </c>
      <c r="C22" s="72"/>
      <c r="D22" s="72"/>
      <c r="E22" s="72"/>
      <c r="F22" s="73"/>
      <c r="G22" s="34">
        <f>SUM(G19:G21)</f>
        <v>5568099.6302924268</v>
      </c>
      <c r="H22" s="18" t="s">
        <v>4</v>
      </c>
      <c r="I22" s="1"/>
    </row>
    <row r="23" spans="1:9" x14ac:dyDescent="0.25">
      <c r="A23" s="1"/>
      <c r="B23" s="21"/>
      <c r="C23" s="21"/>
      <c r="D23" s="21"/>
      <c r="E23" s="21"/>
      <c r="F23" s="21"/>
      <c r="G23" s="21"/>
      <c r="H23" s="21"/>
      <c r="I23" s="1"/>
    </row>
    <row r="24" spans="1:9" x14ac:dyDescent="0.25">
      <c r="A24" s="1"/>
      <c r="B24" s="22" t="s">
        <v>123</v>
      </c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2" t="s">
        <v>124</v>
      </c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</sheetData>
  <sheetProtection password="DFE9" sheet="1" objects="1" scenarios="1"/>
  <mergeCells count="16">
    <mergeCell ref="B22:F22"/>
    <mergeCell ref="B18:H18"/>
    <mergeCell ref="B3:H4"/>
    <mergeCell ref="B21:F21"/>
    <mergeCell ref="B20:F20"/>
    <mergeCell ref="B19:F19"/>
    <mergeCell ref="B6:H6"/>
    <mergeCell ref="B7:F7"/>
    <mergeCell ref="B8:F8"/>
    <mergeCell ref="B9:F9"/>
    <mergeCell ref="B10:F10"/>
    <mergeCell ref="B12:H12"/>
    <mergeCell ref="B13:F13"/>
    <mergeCell ref="B14:F14"/>
    <mergeCell ref="B15:F15"/>
    <mergeCell ref="B16:F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topLeftCell="A4" zoomScaleNormal="100" workbookViewId="0">
      <selection activeCell="I13" sqref="I13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114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103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107</v>
      </c>
      <c r="C9" s="79"/>
      <c r="D9" s="79"/>
      <c r="E9" s="79"/>
      <c r="F9" s="80"/>
      <c r="G9" s="20">
        <f>'Fane 3. Grundlag'!G22-'Fane 3. Grundlag'!G21</f>
        <v>3543550.2361126468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2">
        <f>1.7</f>
        <v>1.7</v>
      </c>
      <c r="H10" s="10" t="s">
        <v>75</v>
      </c>
      <c r="I10" s="1"/>
    </row>
    <row r="11" spans="1:9" x14ac:dyDescent="0.25">
      <c r="A11" s="1"/>
      <c r="B11" s="71" t="s">
        <v>28</v>
      </c>
      <c r="C11" s="72"/>
      <c r="D11" s="72"/>
      <c r="E11" s="72"/>
      <c r="F11" s="73"/>
      <c r="G11" s="34">
        <f>$G$9*$G$10/100</f>
        <v>60240.354013914999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115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104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-1723405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-1063086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-660319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1" t="s">
        <v>76</v>
      </c>
      <c r="C13" s="72"/>
      <c r="D13" s="72"/>
      <c r="E13" s="72"/>
      <c r="F13" s="73"/>
      <c r="G13" s="34">
        <f>G11/G12</f>
        <v>-165079.75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>
      <selection activeCell="K25" sqref="K25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4" t="s">
        <v>116</v>
      </c>
      <c r="C3" s="74"/>
      <c r="D3" s="74"/>
      <c r="E3" s="74"/>
      <c r="F3" s="74"/>
      <c r="G3" s="74"/>
      <c r="H3" s="1"/>
    </row>
    <row r="4" spans="1:8" ht="15" customHeight="1" x14ac:dyDescent="0.25">
      <c r="A4" s="1"/>
      <c r="B4" s="74"/>
      <c r="C4" s="74"/>
      <c r="D4" s="74"/>
      <c r="E4" s="74"/>
      <c r="F4" s="74"/>
      <c r="G4" s="7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1" t="s">
        <v>6</v>
      </c>
      <c r="C8" s="72"/>
      <c r="D8" s="72"/>
      <c r="E8" s="72"/>
      <c r="F8" s="72"/>
      <c r="G8" s="7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1" t="s">
        <v>109</v>
      </c>
      <c r="C10" s="39">
        <v>2015</v>
      </c>
      <c r="D10" s="39">
        <v>75</v>
      </c>
      <c r="E10" s="36">
        <v>531525</v>
      </c>
      <c r="F10" s="20">
        <f>E10/D10</f>
        <v>7087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15</v>
      </c>
      <c r="E11" s="36">
        <v>4969</v>
      </c>
      <c r="F11" s="20">
        <f t="shared" ref="F11:F12" si="0">E11/D11</f>
        <v>331.26666666666665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75</v>
      </c>
      <c r="E12" s="36">
        <v>24741</v>
      </c>
      <c r="F12" s="20">
        <f t="shared" si="0"/>
        <v>329.88</v>
      </c>
      <c r="G12" s="10" t="s">
        <v>4</v>
      </c>
      <c r="H12" s="1"/>
    </row>
    <row r="13" spans="1:8" x14ac:dyDescent="0.25">
      <c r="A13" s="1"/>
      <c r="B13" s="71" t="s">
        <v>5</v>
      </c>
      <c r="C13" s="72"/>
      <c r="D13" s="72"/>
      <c r="E13" s="73"/>
      <c r="F13" s="34">
        <f>SUM(F10:F12)</f>
        <v>7748.1466666666665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2018-03-25T15:08:14Z</dcterms:modified>
</cp:coreProperties>
</file>