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890" yWindow="150" windowWidth="20130" windowHeight="10920" tabRatio="818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7" i="7" l="1"/>
  <c r="G16" i="7"/>
  <c r="G15" i="7"/>
  <c r="G23" i="7" l="1"/>
  <c r="G22" i="7"/>
  <c r="G21" i="7"/>
  <c r="G18" i="7"/>
  <c r="G12" i="7"/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G17" i="12"/>
  <c r="F11" i="11"/>
  <c r="F12" i="11"/>
  <c r="F13" i="11"/>
  <c r="F14" i="11"/>
  <c r="F15" i="11" s="1"/>
  <c r="G29" i="12" s="1"/>
  <c r="F10" i="11"/>
  <c r="G13" i="10"/>
  <c r="E14" i="2" s="1"/>
  <c r="G14" i="2" s="1"/>
  <c r="G24" i="7"/>
  <c r="G15" i="6"/>
  <c r="G15" i="5"/>
  <c r="G15" i="4"/>
  <c r="E22" i="2"/>
  <c r="G22" i="2" s="1"/>
  <c r="E18" i="2"/>
  <c r="E17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4" s="1"/>
  <c r="E9" i="5" s="1"/>
  <c r="E12" i="2"/>
  <c r="G12" i="2" s="1"/>
  <c r="G23" i="2" s="1"/>
  <c r="E11" i="4" l="1"/>
  <c r="E13" i="4" s="1"/>
  <c r="G13" i="4" s="1"/>
  <c r="G16" i="4" s="1"/>
  <c r="E12" i="5"/>
  <c r="E9" i="6" s="1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<sst xmlns="http://schemas.openxmlformats.org/spreadsheetml/2006/main" count="271" uniqueCount="127">
  <si>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</si>
  <si>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</si>
  <si>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</si>
  <si>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</si>
  <si>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</si>
  <si>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</si>
  <si>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</si>
  <si>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</si>
  <si>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</si>
  <si>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</si>
  <si>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</si>
  <si>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</si>
  <si>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</si>
  <si>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</si>
  <si>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</si>
  <si>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</si>
  <si>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</si>
  <si>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</si>
  <si>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</si>
  <si>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</si>
  <si>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</si>
  <si>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</si>
  <si>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</si>
  <si>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</si>
  <si>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</si>
  <si>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</si>
  <si>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</si>
  <si>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</si>
  <si>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</si>
  <si>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</si>
  <si>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</si>
  <si>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</si>
  <si>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</si>
  <si>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</si>
  <si>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</si>
  <si>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</si>
  <si>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</si>
  <si>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</si>
  <si>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</si>
  <si>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</si>
  <si>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</si>
  <si>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</si>
  <si>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</si>
  <si>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</si>
  <si>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</si>
  <si>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</si>
  <si>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</si>
  <si>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</si>
  <si>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</si>
  <si>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</si>
  <si>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</si>
  <si>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</si>
  <si>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</si>
  <si>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</si>
  <si>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</si>
  <si>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</si>
  <si>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</si>
  <si>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</si>
  <si>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</si>
  <si>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</si>
  <si>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</si>
  <si>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</si>
  <si>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</si>
  <si>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</si>
  <si>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</si>
  <si>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</si>
  <si>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</si>
  <si>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</si>
  <si>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</si>
  <si>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</si>
  <si>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</si>
  <si>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</si>
  <si>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</si>
  <si>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</si>
  <si>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</si>
  <si>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</si>
  <si>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</si>
  <si>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</si>
  <si>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</si>
  <si>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</si>
  <si>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</si>
  <si>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</si>
  <si>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</si>
  <si>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</si>
  <si>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</si>
  <si>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</si>
  <si>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</si>
  <si>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</si>
  <si>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</si>
  <si>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</si>
  <si>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</si>
  <si>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</si>
  <si>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</si>
  <si>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</si>
  <si>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</si>
  <si>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</si>
  <si>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</si>
  <si>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</si>
  <si>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</si>
  <si>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</si>
  <si>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</si>
  <si>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</si>
  <si>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</si>
  <si>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</si>
  <si>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</si>
  <si>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</si>
  <si>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</si>
  <si>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</si>
  <si>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</si>
  <si>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</si>
  <si>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Stik på ledningsnet, Konstruktioner</t>
  </si>
  <si>
    <t>Ventiler på ledningsnet ≤ Ø50 mm</t>
  </si>
  <si>
    <t>Ventiler på Ø 50mm &lt; Ledningsnet ≤ Ø110 mm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</si>
  <si>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</si>
  <si>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</si>
  <si>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</si>
  <si>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</si>
  <si>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</si>
  <si>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</si>
  <si>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</si>
  <si>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</si>
  <si>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</si>
  <si>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 xml:space="preserve">Hornslet Vandværk </t>
  </si>
  <si>
    <t xml:space="preserve">Tendrup Vandværk </t>
  </si>
  <si>
    <t xml:space="preserve">Grundlag efter fusion </t>
  </si>
  <si>
    <t xml:space="preserve">Beregningen af de enkelte komponenter for Tendtrup Vandværk fremgår af jeres bilag 1. </t>
  </si>
  <si>
    <t>Beregningen af de enkelte komponenter for Hornslet Vandværk fremgår af jeres bilag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</si>
</sst>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>
      <selection activeCell="D13" sqref="D13:G13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108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1465105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1303160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161945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-35326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-75000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39674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86667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91667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2015'!F15</f>
        <v>55618.726666666669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-67096.546666666662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4.25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3677610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36">
        <v>1004067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285025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15270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140955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1445317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606710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606710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-2051586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-2051586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441</v>
      </c>
      <c r="F28" s="16" t="s">
        <v>4</v>
      </c>
      <c r="G28" s="31">
        <f>IF(E28&lt;0,0,-E28)</f>
        <v>-441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515768</v>
      </c>
      <c r="F30" s="16" t="s">
        <v>4</v>
      </c>
      <c r="G30" s="33">
        <f>-$E$30</f>
        <v>-515768</v>
      </c>
      <c r="H30" s="16" t="s">
        <v>4</v>
      </c>
      <c r="I30" s="1"/>
    </row>
    <row r="31" spans="1:9" x14ac:dyDescent="0.25">
      <c r="A31" s="1"/>
      <c r="B31" s="93" t="s">
        <v>114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115</v>
      </c>
      <c r="C32" s="72"/>
      <c r="D32" s="73"/>
      <c r="E32" s="36">
        <v>2868773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49183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2917956</v>
      </c>
      <c r="F35" s="16" t="s">
        <v>4</v>
      </c>
      <c r="G35" s="33">
        <f>-E35</f>
        <v>-2917956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243445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Grundlag'!G24</f>
        <v>4415837.3755970038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Grundlag'!G23</f>
        <v>1684832.1232937998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46427.089289154464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4369410.286307849</v>
      </c>
      <c r="F12" s="17" t="s">
        <v>4</v>
      </c>
      <c r="G12" s="33">
        <f>E12</f>
        <v>4369410.286307849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105</v>
      </c>
      <c r="C14" s="69"/>
      <c r="D14" s="70"/>
      <c r="E14" s="33">
        <f>'Fane 5. Hist. over el. underdæk'!G13</f>
        <v>-664311.25</v>
      </c>
      <c r="F14" s="17" t="s">
        <v>4</v>
      </c>
      <c r="G14" s="33">
        <f>E14</f>
        <v>-664311.25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161945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39674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-67096.546666666662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134522.45333333334</v>
      </c>
      <c r="F20" s="17" t="s">
        <v>4</v>
      </c>
      <c r="G20" s="33">
        <f>E20</f>
        <v>134522.45333333334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243445</v>
      </c>
      <c r="F22" s="17" t="s">
        <v>4</v>
      </c>
      <c r="G22" s="33">
        <f>E22</f>
        <v>243445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4083066.4896411821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4369410.286307849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1684832.1232937998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55491.510636109677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46217.429196633573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4378684.3677473255</v>
      </c>
      <c r="F13" s="17" t="s">
        <v>4</v>
      </c>
      <c r="G13" s="33">
        <f>E13</f>
        <v>4378684.3677473255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105</v>
      </c>
      <c r="C15" s="69"/>
      <c r="D15" s="70"/>
      <c r="E15" s="37">
        <f>IF('Fane 5. Hist. over el. underdæk'!$G$12&gt;1,'Fane 5. Hist. over el. underdæk'!$G$13,0)</f>
        <v>-664311.25</v>
      </c>
      <c r="F15" s="17" t="s">
        <v>4</v>
      </c>
      <c r="G15" s="33">
        <f>E15</f>
        <v>-664311.25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3714373.1177473255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J27" sqref="J27:K2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4378684.3677473245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1706229.491259631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55609.291470391021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46008.715908124483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4388284.9433095912</v>
      </c>
      <c r="F13" s="17" t="s">
        <v>4</v>
      </c>
      <c r="G13" s="33">
        <f>E13</f>
        <v>4388284.9433095912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105</v>
      </c>
      <c r="C15" s="69"/>
      <c r="D15" s="70"/>
      <c r="E15" s="37">
        <f>IF('Fane 5. Hist. over el. underdæk'!$G$12&gt;2,'Fane 5. Hist. over el. underdæk'!$G$13,0)</f>
        <v>-664311.25</v>
      </c>
      <c r="F15" s="17" t="s">
        <v>4</v>
      </c>
      <c r="G15" s="33">
        <f>E15</f>
        <v>-664311.25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3723973.6933095912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4388284.9433095912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1727898.6057986282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55731.218780031806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45800.94514795499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4398215.2169416677</v>
      </c>
      <c r="F13" s="17" t="s">
        <v>4</v>
      </c>
      <c r="G13" s="33">
        <f>E13</f>
        <v>4398215.2169416677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105</v>
      </c>
      <c r="C15" s="69"/>
      <c r="D15" s="70"/>
      <c r="E15" s="37">
        <f>IF('Fane 5. Hist. over el. underdæk'!$G$12&gt;3,'Fane 5. Hist. over el. underdæk'!$G$13,0)</f>
        <v>-664311.25</v>
      </c>
      <c r="F15" s="17" t="s">
        <v>4</v>
      </c>
      <c r="G15" s="33">
        <f>E15</f>
        <v>-664311.25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3733903.9669416677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6"/>
  <sheetViews>
    <sheetView view="pageLayout" topLeftCell="A4" zoomScaleNormal="100" workbookViewId="0">
      <selection activeCell="I26" sqref="I26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ht="15" customHeight="1" x14ac:dyDescent="0.25">
      <c r="A5" s="1"/>
      <c r="B5" s="43"/>
      <c r="C5" s="43"/>
      <c r="D5" s="43"/>
      <c r="E5" s="43"/>
      <c r="F5" s="43"/>
      <c r="G5" s="43"/>
      <c r="H5" s="43"/>
      <c r="I5" s="1"/>
    </row>
    <row r="6" spans="1:9" ht="15" customHeight="1" x14ac:dyDescent="0.25">
      <c r="A6" s="1"/>
      <c r="B6" s="43"/>
      <c r="C6" s="43"/>
      <c r="D6" s="43"/>
      <c r="E6" s="43"/>
      <c r="F6" s="43"/>
      <c r="G6" s="43"/>
      <c r="H6" s="43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122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1001405.2657984062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1388414.2676047978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1450597.6513937998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3840417.1847970039</v>
      </c>
      <c r="H12" s="18" t="s">
        <v>4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74" t="s">
        <v>123</v>
      </c>
      <c r="C14" s="75"/>
      <c r="D14" s="75"/>
      <c r="E14" s="75"/>
      <c r="F14" s="75"/>
      <c r="G14" s="75"/>
      <c r="H14" s="76"/>
      <c r="I14" s="1"/>
    </row>
    <row r="15" spans="1:9" x14ac:dyDescent="0.25">
      <c r="A15" s="1"/>
      <c r="B15" s="78" t="s">
        <v>100</v>
      </c>
      <c r="C15" s="79"/>
      <c r="D15" s="79"/>
      <c r="E15" s="79"/>
      <c r="F15" s="80"/>
      <c r="G15" s="36">
        <f>211645*1.0127</f>
        <v>214332.8915</v>
      </c>
      <c r="H15" s="10" t="s">
        <v>4</v>
      </c>
      <c r="I15" s="1"/>
    </row>
    <row r="16" spans="1:9" x14ac:dyDescent="0.25">
      <c r="A16" s="1"/>
      <c r="B16" s="78" t="s">
        <v>101</v>
      </c>
      <c r="C16" s="79"/>
      <c r="D16" s="79"/>
      <c r="E16" s="79"/>
      <c r="F16" s="80"/>
      <c r="G16" s="36">
        <f>125262*1.0127</f>
        <v>126852.82739999999</v>
      </c>
      <c r="H16" s="10" t="s">
        <v>4</v>
      </c>
      <c r="I16" s="1"/>
    </row>
    <row r="17" spans="1:9" x14ac:dyDescent="0.25">
      <c r="A17" s="1"/>
      <c r="B17" s="78" t="s">
        <v>102</v>
      </c>
      <c r="C17" s="79"/>
      <c r="D17" s="79"/>
      <c r="E17" s="79"/>
      <c r="F17" s="80"/>
      <c r="G17" s="36">
        <f>231297*1.0127</f>
        <v>234234.47189999997</v>
      </c>
      <c r="H17" s="10" t="s">
        <v>4</v>
      </c>
      <c r="I17" s="1"/>
    </row>
    <row r="18" spans="1:9" x14ac:dyDescent="0.25">
      <c r="A18" s="1"/>
      <c r="B18" s="74" t="s">
        <v>48</v>
      </c>
      <c r="C18" s="75"/>
      <c r="D18" s="75"/>
      <c r="E18" s="75"/>
      <c r="F18" s="76"/>
      <c r="G18" s="34">
        <f>SUM(G15:G17)</f>
        <v>575420.19079999998</v>
      </c>
      <c r="H18" s="18" t="s">
        <v>4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74" t="s">
        <v>124</v>
      </c>
      <c r="C20" s="75"/>
      <c r="D20" s="75"/>
      <c r="E20" s="75"/>
      <c r="F20" s="75"/>
      <c r="G20" s="75"/>
      <c r="H20" s="76"/>
      <c r="I20" s="1"/>
    </row>
    <row r="21" spans="1:9" x14ac:dyDescent="0.25">
      <c r="A21" s="1"/>
      <c r="B21" s="78" t="s">
        <v>100</v>
      </c>
      <c r="C21" s="79"/>
      <c r="D21" s="79"/>
      <c r="E21" s="79"/>
      <c r="F21" s="80"/>
      <c r="G21" s="36">
        <f>G9+G15</f>
        <v>1215738.1572984061</v>
      </c>
      <c r="H21" s="10" t="s">
        <v>4</v>
      </c>
      <c r="I21" s="1"/>
    </row>
    <row r="22" spans="1:9" x14ac:dyDescent="0.25">
      <c r="A22" s="1"/>
      <c r="B22" s="78" t="s">
        <v>101</v>
      </c>
      <c r="C22" s="79"/>
      <c r="D22" s="79"/>
      <c r="E22" s="79"/>
      <c r="F22" s="80"/>
      <c r="G22" s="36">
        <f t="shared" ref="G22:G23" si="0">G10+G16</f>
        <v>1515267.0950047979</v>
      </c>
      <c r="H22" s="10" t="s">
        <v>4</v>
      </c>
      <c r="I22" s="1"/>
    </row>
    <row r="23" spans="1:9" x14ac:dyDescent="0.25">
      <c r="A23" s="1"/>
      <c r="B23" s="78" t="s">
        <v>102</v>
      </c>
      <c r="C23" s="79"/>
      <c r="D23" s="79"/>
      <c r="E23" s="79"/>
      <c r="F23" s="80"/>
      <c r="G23" s="36">
        <f t="shared" si="0"/>
        <v>1684832.1232937998</v>
      </c>
      <c r="H23" s="10" t="s">
        <v>4</v>
      </c>
      <c r="I23" s="1"/>
    </row>
    <row r="24" spans="1:9" x14ac:dyDescent="0.25">
      <c r="A24" s="1"/>
      <c r="B24" s="74" t="s">
        <v>48</v>
      </c>
      <c r="C24" s="75"/>
      <c r="D24" s="75"/>
      <c r="E24" s="75"/>
      <c r="F24" s="76"/>
      <c r="G24" s="34">
        <f>SUM(G21:G23)</f>
        <v>4415837.3755970038</v>
      </c>
      <c r="H24" s="18" t="s">
        <v>4</v>
      </c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22" t="s">
        <v>126</v>
      </c>
      <c r="C26" s="21"/>
      <c r="D26" s="21"/>
      <c r="E26" s="21"/>
      <c r="F26" s="21"/>
      <c r="G26" s="21"/>
      <c r="H26" s="21"/>
      <c r="I26" s="1"/>
    </row>
    <row r="27" spans="1:9" x14ac:dyDescent="0.25">
      <c r="A27" s="1"/>
      <c r="B27" s="22" t="s">
        <v>125</v>
      </c>
      <c r="C27" s="21"/>
      <c r="D27" s="21"/>
      <c r="E27" s="21"/>
      <c r="F27" s="21"/>
      <c r="G27" s="21"/>
      <c r="H27" s="2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t="14.25" x14ac:dyDescent="0.4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16">
    <mergeCell ref="B24:F24"/>
    <mergeCell ref="B20:H20"/>
    <mergeCell ref="B3:H4"/>
    <mergeCell ref="B23:F23"/>
    <mergeCell ref="B22:F22"/>
    <mergeCell ref="B21:F21"/>
    <mergeCell ref="B8:H8"/>
    <mergeCell ref="B9:F9"/>
    <mergeCell ref="B10:F10"/>
    <mergeCell ref="B11:F11"/>
    <mergeCell ref="B12:F12"/>
    <mergeCell ref="B15:F15"/>
    <mergeCell ref="B16:F16"/>
    <mergeCell ref="B17:F17"/>
    <mergeCell ref="B18:F18"/>
    <mergeCell ref="B14:H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B7" sqref="B7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103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107</v>
      </c>
      <c r="C9" s="79"/>
      <c r="D9" s="79"/>
      <c r="E9" s="79"/>
      <c r="F9" s="80"/>
      <c r="G9" s="20">
        <f>'Fane 3. Grundlag'!G24-'Fane 3. Grundlag'!G23</f>
        <v>2731005.252303204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2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46427.089289154464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-6690838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-4033593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-2657245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-664311.25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118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1" t="s">
        <v>109</v>
      </c>
      <c r="C10" s="39">
        <v>2015</v>
      </c>
      <c r="D10" s="39">
        <v>75</v>
      </c>
      <c r="E10" s="36">
        <v>499800</v>
      </c>
      <c r="F10" s="20">
        <f>E10/D10</f>
        <v>6664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75</v>
      </c>
      <c r="E11" s="36">
        <v>204118</v>
      </c>
      <c r="F11" s="20">
        <f t="shared" ref="F11:F14" si="0">E11/D11</f>
        <v>2721.5733333333333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316318</v>
      </c>
      <c r="F12" s="20">
        <f t="shared" si="0"/>
        <v>4217.5733333333337</v>
      </c>
      <c r="G12" s="10" t="s">
        <v>4</v>
      </c>
      <c r="H12" s="1"/>
    </row>
    <row r="13" spans="1:8" x14ac:dyDescent="0.25">
      <c r="A13" s="1"/>
      <c r="B13" s="41" t="s">
        <v>112</v>
      </c>
      <c r="C13" s="39">
        <v>2015</v>
      </c>
      <c r="D13" s="39">
        <v>75</v>
      </c>
      <c r="E13" s="36">
        <v>22926</v>
      </c>
      <c r="F13" s="20">
        <f t="shared" si="0"/>
        <v>305.68</v>
      </c>
      <c r="G13" s="10" t="s">
        <v>4</v>
      </c>
      <c r="H13" s="1"/>
    </row>
    <row r="14" spans="1:8" ht="26.25" x14ac:dyDescent="0.25">
      <c r="A14" s="1"/>
      <c r="B14" s="41" t="s">
        <v>113</v>
      </c>
      <c r="C14" s="39">
        <v>2015</v>
      </c>
      <c r="D14" s="39">
        <v>10</v>
      </c>
      <c r="E14" s="36">
        <v>417099</v>
      </c>
      <c r="F14" s="20">
        <f t="shared" si="0"/>
        <v>41709.9</v>
      </c>
      <c r="G14" s="10" t="s">
        <v>4</v>
      </c>
      <c r="H14" s="1"/>
    </row>
    <row r="15" spans="1:8" x14ac:dyDescent="0.25">
      <c r="A15" s="1"/>
      <c r="B15" s="74" t="s">
        <v>5</v>
      </c>
      <c r="C15" s="75"/>
      <c r="D15" s="75"/>
      <c r="E15" s="76"/>
      <c r="F15" s="34">
        <f>SUM(F10:F14)</f>
        <v>55618.726666666669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2018-03-25T13:02:53Z</dcterms:modified>
</cp:coreProperties>
</file>