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245" yWindow="135" windowWidth="20535" windowHeight="9810" tabRatio="909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7" i="7" l="1"/>
  <c r="G16" i="7"/>
  <c r="G15" i="7"/>
  <c r="G22" i="7" l="1"/>
  <c r="G23" i="7"/>
  <c r="G21" i="7"/>
  <c r="G18" i="7"/>
  <c r="G12" i="7"/>
  <c r="G30" i="13" l="1"/>
  <c r="E15" i="6" l="1"/>
  <c r="E15" i="5"/>
  <c r="E15" i="4"/>
  <c r="G10" i="9"/>
  <c r="G36" i="13"/>
  <c r="F13" i="11" l="1"/>
  <c r="F14" i="11"/>
  <c r="F15" i="11"/>
  <c r="F16" i="11"/>
  <c r="F17" i="11"/>
  <c r="F18" i="11"/>
  <c r="E35" i="13" l="1"/>
  <c r="G35" i="13" s="1"/>
  <c r="E27" i="13"/>
  <c r="E19" i="13"/>
  <c r="E15" i="13"/>
  <c r="G11" i="12"/>
  <c r="E16" i="2" s="1"/>
  <c r="G23" i="12"/>
  <c r="E18" i="2" s="1"/>
  <c r="G17" i="12"/>
  <c r="F11" i="11"/>
  <c r="F12" i="11"/>
  <c r="F19" i="11"/>
  <c r="F20" i="11"/>
  <c r="F21" i="11"/>
  <c r="F10" i="11"/>
  <c r="G13" i="10"/>
  <c r="E14" i="2" s="1"/>
  <c r="G14" i="2" s="1"/>
  <c r="G24" i="7"/>
  <c r="G15" i="6"/>
  <c r="G15" i="5"/>
  <c r="G15" i="4"/>
  <c r="E22" i="2"/>
  <c r="G22" i="2" s="1"/>
  <c r="E17" i="2"/>
  <c r="E10" i="2"/>
  <c r="E10" i="4" s="1"/>
  <c r="E10" i="5" s="1"/>
  <c r="E10" i="6" s="1"/>
  <c r="E28" i="13" l="1"/>
  <c r="G28" i="13" s="1"/>
  <c r="F22" i="11"/>
  <c r="G29" i="12" s="1"/>
  <c r="G30" i="12"/>
  <c r="E19" i="2" s="1"/>
  <c r="E20" i="2" s="1"/>
  <c r="G20" i="2" s="1"/>
  <c r="G9" i="9"/>
  <c r="E9" i="2"/>
  <c r="G11" i="9" l="1"/>
  <c r="E11" i="2" s="1"/>
  <c r="E9" i="4" l="1"/>
  <c r="E11" i="4" s="1"/>
  <c r="E12" i="2"/>
  <c r="G12" i="2" s="1"/>
  <c r="G23" i="2" s="1"/>
  <c r="E12" i="4" l="1"/>
  <c r="E9" i="5" s="1"/>
  <c r="E12" i="5" s="1"/>
  <c r="E11" i="5" l="1"/>
  <c r="E13" i="5" s="1"/>
  <c r="G13" i="5" s="1"/>
  <c r="G16" i="5" s="1"/>
  <c r="E13" i="4"/>
  <c r="G13" i="4" s="1"/>
  <c r="G16" i="4" s="1"/>
  <c r="E9" i="6"/>
  <c r="E12" i="6" s="1"/>
  <c r="E11" i="6" l="1"/>
  <c r="E13" i="6" s="1"/>
  <c r="G13" i="6" s="1"/>
  <c r="G16" i="6" s="1"/>
</calcChain>
</file>

<file path=xl/sharedStrings.xml><?xml version="1.0" encoding="utf-8"?>
<sst xmlns="http://schemas.openxmlformats.org/spreadsheetml/2006/main" count="285" uniqueCount="134">
  <si>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</si>
  <si>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</si>
  <si>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</si>
  <si>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</si>
  <si>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</si>
  <si>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</si>
  <si>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</si>
  <si>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</si>
  <si>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</si>
  <si>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</si>
  <si>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</si>
  <si>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</si>
  <si>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</si>
  <si>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</si>
  <si>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</si>
  <si>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</si>
  <si>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</si>
  <si>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</si>
  <si>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</si>
  <si>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</si>
  <si>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</si>
  <si>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</si>
  <si>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</si>
  <si>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</si>
  <si>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</si>
  <si>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</si>
  <si>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</si>
  <si>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</si>
  <si>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</si>
  <si>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</si>
  <si>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</si>
  <si>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</si>
  <si>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</si>
  <si>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</si>
  <si>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</si>
  <si>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</si>
  <si>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</si>
  <si>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</si>
  <si>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</si>
  <si>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</si>
  <si>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</si>
  <si>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</si>
  <si>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</si>
  <si>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</si>
  <si>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</si>
  <si>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</si>
  <si>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</si>
  <si>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</si>
  <si>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</si>
  <si>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</si>
  <si>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</si>
  <si>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</si>
  <si>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</si>
  <si>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</si>
  <si>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</si>
  <si>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</si>
  <si>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</si>
  <si>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</si>
  <si>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</si>
  <si>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</si>
  <si>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</si>
  <si>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</si>
  <si>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</si>
  <si>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</si>
  <si>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</si>
  <si>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</si>
  <si>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</si>
  <si>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</si>
  <si>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</si>
  <si>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</si>
  <si>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</si>
  <si>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</si>
  <si>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</si>
  <si>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</si>
  <si>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</si>
  <si>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</si>
  <si>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</si>
  <si>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</si>
  <si>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</si>
  <si>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</si>
  <si>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</si>
  <si>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</si>
  <si>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</si>
  <si>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</si>
  <si>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</si>
  <si>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</si>
  <si>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</si>
  <si>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</si>
  <si>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</si>
  <si>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</si>
  <si>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</si>
  <si>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</si>
  <si>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</si>
  <si>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</si>
  <si>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</si>
  <si>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</si>
  <si>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</si>
  <si>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</si>
  <si>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</si>
  <si>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</si>
  <si>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</si>
  <si>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</si>
  <si>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</si>
  <si>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</si>
  <si>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</si>
  <si>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</si>
  <si>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</si>
  <si>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</si>
  <si>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</si>
  <si>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</si>
  <si>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Stik på ledningsnet, Mek./EL</t>
  </si>
  <si>
    <t>Afregningsmålere, elektroniske ≤ Ø 110mm (Qn 10)</t>
  </si>
  <si>
    <t>SRO-brønd/kvarterbrønd/sektionsbrønd, Mek./EL</t>
  </si>
  <si>
    <t>SRO-brønd/kvarterbrønd/sektionsbrønd, Konstruktioner</t>
  </si>
  <si>
    <t>Boring (inkl. etablering, forerør, filter og prøvepumpning)</t>
  </si>
  <si>
    <t>Pumpestation (inkl. evt. hydrofor)/trykforøger, Konstruktioner</t>
  </si>
  <si>
    <t>Pumpestation (inkl. evt. hydrofor)/trykforøger, Mek./EL</t>
  </si>
  <si>
    <t>Køretøjer, små lastvogne (&lt; 3.500 kg.)</t>
  </si>
  <si>
    <t>PC Hardware/Software</t>
  </si>
  <si>
    <t>Kopimaskine</t>
  </si>
  <si>
    <t>Rentvandsbeholder  insitu støbt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</si>
  <si>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</si>
  <si>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</si>
  <si>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</si>
  <si>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</si>
  <si>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</si>
  <si>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</si>
  <si>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</si>
  <si>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</si>
  <si>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 xml:space="preserve">Hadsten Vandværk </t>
  </si>
  <si>
    <t xml:space="preserve">Lejbjerg Svejstrup Vandværk </t>
  </si>
  <si>
    <t xml:space="preserve">Grundlag efter fusion </t>
  </si>
  <si>
    <t>Beregningen af de enkelte komponenter for Hadsten Vandværk fremgår af jeres bilag B.</t>
  </si>
  <si>
    <t>Beregningen af de enkelte komponenter for Lejbjerg Svejstrup Vandværk fremgår af jeres bilag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</si>
</sst>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7" fillId="13" borderId="0" applyNumberFormat="0" applyBorder="0" applyAlignment="0" applyProtection="0"/>
    <xf numFmtId="0" fontId="18" fillId="14" borderId="16" applyNumberFormat="0" applyAlignment="0" applyProtection="0"/>
    <xf numFmtId="0" fontId="19" fillId="15" borderId="17" applyNumberFormat="0" applyAlignment="0" applyProtection="0"/>
    <xf numFmtId="0" fontId="23" fillId="0" borderId="21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0" fillId="0" borderId="18" applyNumberFormat="0" applyFill="0" applyAlignment="0" applyProtection="0"/>
    <xf numFmtId="0" fontId="21" fillId="16" borderId="19" applyNumberFormat="0" applyAlignment="0" applyProtection="0"/>
    <xf numFmtId="0" fontId="22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9" fontId="25" fillId="0" borderId="0" applyFill="0" applyBorder="0" applyProtection="0">
      <alignment horizontal="center"/>
    </xf>
    <xf numFmtId="37" fontId="25" fillId="0" borderId="22" applyFill="0" applyAlignment="0" applyProtection="0"/>
    <xf numFmtId="165" fontId="25" fillId="0" borderId="22" applyFill="0" applyAlignment="0" applyProtection="0"/>
    <xf numFmtId="167" fontId="25" fillId="0" borderId="22" applyFill="0" applyAlignment="0" applyProtection="0"/>
    <xf numFmtId="168" fontId="25" fillId="0" borderId="22" applyFill="0" applyAlignment="0" applyProtection="0"/>
    <xf numFmtId="164" fontId="12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8" fillId="53" borderId="23" applyNumberFormat="0" applyAlignment="0" applyProtection="0"/>
    <xf numFmtId="0" fontId="29" fillId="41" borderId="0" applyNumberFormat="0" applyBorder="0" applyAlignment="0" applyProtection="0"/>
    <xf numFmtId="0" fontId="30" fillId="44" borderId="23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4" borderId="0" applyNumberFormat="0" applyBorder="0" applyAlignment="0" applyProtection="0"/>
    <xf numFmtId="0" fontId="12" fillId="55" borderId="24" applyNumberFormat="0" applyFont="0" applyAlignment="0" applyProtection="0"/>
    <xf numFmtId="0" fontId="33" fillId="53" borderId="25" applyNumberFormat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/>
    <xf numFmtId="37" fontId="37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7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1" fillId="0" borderId="0"/>
    <xf numFmtId="164" fontId="3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5" fillId="0" borderId="26" applyNumberFormat="0" applyFill="0" applyAlignment="0" applyProtection="0"/>
    <xf numFmtId="164" fontId="31" fillId="0" borderId="0" applyFont="0" applyFill="0" applyBorder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44" fontId="11" fillId="0" borderId="0" applyFont="0" applyFill="0" applyBorder="0" applyAlignment="0" applyProtection="0"/>
    <xf numFmtId="0" fontId="39" fillId="0" borderId="0" applyNumberFormat="0" applyBorder="0" applyAlignment="0"/>
    <xf numFmtId="0" fontId="12" fillId="0" borderId="0"/>
    <xf numFmtId="0" fontId="40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1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1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1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>
      <selection activeCell="D13" sqref="D13:G13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108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>
      <selection activeCell="G23" sqref="G23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2376296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2214635</v>
      </c>
      <c r="H10" s="10" t="s">
        <v>4</v>
      </c>
      <c r="I10" s="1"/>
    </row>
    <row r="11" spans="1:9" x14ac:dyDescent="0.25">
      <c r="A11" s="1"/>
      <c r="B11" s="68" t="s">
        <v>83</v>
      </c>
      <c r="C11" s="69"/>
      <c r="D11" s="69"/>
      <c r="E11" s="69"/>
      <c r="F11" s="70"/>
      <c r="G11" s="34">
        <f>G9-G10</f>
        <v>161661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-4149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-15000</v>
      </c>
      <c r="H16" s="10" t="s">
        <v>4</v>
      </c>
      <c r="I16" s="1"/>
    </row>
    <row r="17" spans="1:9" x14ac:dyDescent="0.25">
      <c r="A17" s="1"/>
      <c r="B17" s="68" t="s">
        <v>87</v>
      </c>
      <c r="C17" s="69"/>
      <c r="D17" s="69"/>
      <c r="E17" s="69"/>
      <c r="F17" s="70"/>
      <c r="G17" s="34">
        <f>G15-G16</f>
        <v>10851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68" t="s">
        <v>96</v>
      </c>
      <c r="C23" s="69"/>
      <c r="D23" s="69"/>
      <c r="E23" s="69"/>
      <c r="F23" s="70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86200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83467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2015'!F22</f>
        <v>124977.32666666668</v>
      </c>
      <c r="H29" s="10" t="s">
        <v>4</v>
      </c>
      <c r="I29" s="1"/>
    </row>
    <row r="30" spans="1:9" x14ac:dyDescent="0.25">
      <c r="A30" s="1"/>
      <c r="B30" s="68" t="s">
        <v>88</v>
      </c>
      <c r="C30" s="69"/>
      <c r="D30" s="69"/>
      <c r="E30" s="69"/>
      <c r="F30" s="70"/>
      <c r="G30" s="34">
        <f>G29-G27+G29-G28</f>
        <v>80287.65333333335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>
      <selection activeCell="A36" sqref="A36:I4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127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49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5772421</v>
      </c>
      <c r="H9" s="16" t="s">
        <v>4</v>
      </c>
      <c r="I9" s="1"/>
    </row>
    <row r="10" spans="1:9" x14ac:dyDescent="0.25">
      <c r="A10" s="1"/>
      <c r="B10" s="68" t="s">
        <v>52</v>
      </c>
      <c r="C10" s="69"/>
      <c r="D10" s="69"/>
      <c r="E10" s="69"/>
      <c r="F10" s="69"/>
      <c r="G10" s="69"/>
      <c r="H10" s="70"/>
      <c r="I10" s="1"/>
    </row>
    <row r="11" spans="1:9" x14ac:dyDescent="0.25">
      <c r="A11" s="1"/>
      <c r="B11" s="78" t="s">
        <v>53</v>
      </c>
      <c r="C11" s="79"/>
      <c r="D11" s="80"/>
      <c r="E11" s="36">
        <v>1418319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320626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36">
        <v>-29135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190500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1900310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1007550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1007550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62</v>
      </c>
      <c r="C20" s="73"/>
      <c r="D20" s="74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63</v>
      </c>
      <c r="C21" s="73"/>
      <c r="D21" s="74"/>
      <c r="E21" s="36">
        <v>-2533945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66</v>
      </c>
      <c r="C24" s="73"/>
      <c r="D24" s="74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67</v>
      </c>
      <c r="C25" s="73"/>
      <c r="D25" s="74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68</v>
      </c>
      <c r="C26" s="73"/>
      <c r="D26" s="74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-2533945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373915</v>
      </c>
      <c r="F28" s="16" t="s">
        <v>4</v>
      </c>
      <c r="G28" s="31">
        <f>IF(E28&lt;0,0,-E28)</f>
        <v>-373915</v>
      </c>
      <c r="H28" s="16" t="s">
        <v>4</v>
      </c>
      <c r="I28" s="1"/>
    </row>
    <row r="29" spans="1:9" x14ac:dyDescent="0.25">
      <c r="A29" s="1"/>
      <c r="B29" s="68" t="s">
        <v>71</v>
      </c>
      <c r="C29" s="69"/>
      <c r="D29" s="69"/>
      <c r="E29" s="69"/>
      <c r="F29" s="69"/>
      <c r="G29" s="69"/>
      <c r="H29" s="70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121</v>
      </c>
      <c r="C31" s="69"/>
      <c r="D31" s="69"/>
      <c r="E31" s="69"/>
      <c r="F31" s="69"/>
      <c r="G31" s="69"/>
      <c r="H31" s="70"/>
      <c r="I31" s="1"/>
    </row>
    <row r="32" spans="1:9" ht="30" customHeight="1" x14ac:dyDescent="0.25">
      <c r="A32" s="1"/>
      <c r="B32" s="72" t="s">
        <v>122</v>
      </c>
      <c r="C32" s="73"/>
      <c r="D32" s="74"/>
      <c r="E32" s="36">
        <v>5161878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73</v>
      </c>
      <c r="C34" s="73"/>
      <c r="D34" s="74"/>
      <c r="E34" s="36">
        <v>77672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5239550</v>
      </c>
      <c r="F35" s="16" t="s">
        <v>4</v>
      </c>
      <c r="G35" s="33">
        <f>-E35</f>
        <v>-5239550</v>
      </c>
      <c r="H35" s="16" t="s">
        <v>4</v>
      </c>
      <c r="I35" s="1"/>
    </row>
    <row r="36" spans="1:9" x14ac:dyDescent="0.25">
      <c r="A36" s="1"/>
      <c r="B36" s="68" t="s">
        <v>50</v>
      </c>
      <c r="C36" s="69"/>
      <c r="D36" s="69"/>
      <c r="E36" s="69"/>
      <c r="F36" s="70"/>
      <c r="G36" s="34">
        <f>$G$9+$G$28+$G$30+$G$35</f>
        <v>158956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>
      <selection activeCell="D24" sqref="D24"/>
    </sheetView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128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106</v>
      </c>
      <c r="C8" s="69"/>
      <c r="D8" s="69"/>
      <c r="E8" s="69"/>
      <c r="F8" s="69"/>
      <c r="G8" s="69"/>
      <c r="H8" s="70"/>
      <c r="I8" s="1"/>
    </row>
    <row r="9" spans="1:9" ht="30" customHeight="1" x14ac:dyDescent="0.25">
      <c r="A9" s="1"/>
      <c r="B9" s="72" t="s">
        <v>31</v>
      </c>
      <c r="C9" s="73"/>
      <c r="D9" s="74"/>
      <c r="E9" s="32">
        <f>'Fane 3. Grundlag'!G24</f>
        <v>6781090.3808102123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Grundlag'!G23</f>
        <v>2450301.6729014195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73623.408034449472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6707466.9727757629</v>
      </c>
      <c r="F12" s="17" t="s">
        <v>4</v>
      </c>
      <c r="G12" s="33">
        <f>E12</f>
        <v>6707466.9727757629</v>
      </c>
      <c r="H12" s="17" t="s">
        <v>4</v>
      </c>
      <c r="I12" s="1"/>
    </row>
    <row r="13" spans="1:9" x14ac:dyDescent="0.25">
      <c r="A13" s="1"/>
      <c r="B13" s="68" t="s">
        <v>32</v>
      </c>
      <c r="C13" s="69"/>
      <c r="D13" s="69"/>
      <c r="E13" s="69"/>
      <c r="F13" s="69"/>
      <c r="G13" s="69"/>
      <c r="H13" s="70"/>
      <c r="I13" s="1"/>
    </row>
    <row r="14" spans="1:9" x14ac:dyDescent="0.25">
      <c r="A14" s="1"/>
      <c r="B14" s="75" t="s">
        <v>105</v>
      </c>
      <c r="C14" s="76"/>
      <c r="D14" s="77"/>
      <c r="E14" s="33">
        <f>'Fane 5. Hist. over el. underdæk'!G13</f>
        <v>-191557</v>
      </c>
      <c r="F14" s="17" t="s">
        <v>4</v>
      </c>
      <c r="G14" s="33">
        <f>E14</f>
        <v>-191557</v>
      </c>
      <c r="H14" s="17" t="s">
        <v>4</v>
      </c>
      <c r="I14" s="1"/>
    </row>
    <row r="15" spans="1:9" x14ac:dyDescent="0.25">
      <c r="A15" s="1"/>
      <c r="B15" s="68" t="s">
        <v>29</v>
      </c>
      <c r="C15" s="69"/>
      <c r="D15" s="69"/>
      <c r="E15" s="69"/>
      <c r="F15" s="69"/>
      <c r="G15" s="69"/>
      <c r="H15" s="70"/>
      <c r="I15" s="1"/>
    </row>
    <row r="16" spans="1:9" x14ac:dyDescent="0.25">
      <c r="A16" s="1"/>
      <c r="B16" s="72" t="s">
        <v>35</v>
      </c>
      <c r="C16" s="73"/>
      <c r="D16" s="74"/>
      <c r="E16" s="20">
        <f>'Fane 7. Korrektion af PL2015'!G11</f>
        <v>161661</v>
      </c>
      <c r="F16" s="7" t="s">
        <v>4</v>
      </c>
      <c r="G16" s="19"/>
      <c r="H16" s="9"/>
      <c r="I16" s="1"/>
    </row>
    <row r="17" spans="1:9" x14ac:dyDescent="0.25">
      <c r="A17" s="1"/>
      <c r="B17" s="72" t="s">
        <v>36</v>
      </c>
      <c r="C17" s="73"/>
      <c r="D17" s="74"/>
      <c r="E17" s="20">
        <f>'Fane 7. Korrektion af PL2015'!G17</f>
        <v>10851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2" t="s">
        <v>99</v>
      </c>
      <c r="C18" s="73"/>
      <c r="D18" s="74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2" t="s">
        <v>37</v>
      </c>
      <c r="C19" s="73"/>
      <c r="D19" s="74"/>
      <c r="E19" s="20">
        <f>'Fane 7. Korrektion af PL2015'!G30</f>
        <v>80287.65333333335</v>
      </c>
      <c r="F19" s="7" t="s">
        <v>4</v>
      </c>
      <c r="G19" s="14"/>
      <c r="H19" s="15"/>
      <c r="I19" s="1"/>
    </row>
    <row r="20" spans="1:9" x14ac:dyDescent="0.25">
      <c r="A20" s="1"/>
      <c r="B20" s="75" t="s">
        <v>38</v>
      </c>
      <c r="C20" s="76"/>
      <c r="D20" s="77"/>
      <c r="E20" s="33">
        <f>SUM(E16:E19)</f>
        <v>252799.65333333335</v>
      </c>
      <c r="F20" s="17" t="s">
        <v>4</v>
      </c>
      <c r="G20" s="33">
        <f>E20</f>
        <v>252799.65333333335</v>
      </c>
      <c r="H20" s="17" t="s">
        <v>4</v>
      </c>
      <c r="I20" s="1"/>
    </row>
    <row r="21" spans="1:9" x14ac:dyDescent="0.25">
      <c r="A21" s="1"/>
      <c r="B21" s="68" t="s">
        <v>33</v>
      </c>
      <c r="C21" s="69"/>
      <c r="D21" s="69"/>
      <c r="E21" s="69"/>
      <c r="F21" s="69"/>
      <c r="G21" s="69"/>
      <c r="H21" s="70"/>
      <c r="I21" s="1"/>
    </row>
    <row r="22" spans="1:9" x14ac:dyDescent="0.25">
      <c r="A22" s="1"/>
      <c r="B22" s="75" t="s">
        <v>34</v>
      </c>
      <c r="C22" s="76"/>
      <c r="D22" s="77"/>
      <c r="E22" s="33">
        <f>'Fane 8. Kontrol af PL2015'!G36</f>
        <v>158956</v>
      </c>
      <c r="F22" s="17" t="s">
        <v>4</v>
      </c>
      <c r="G22" s="33">
        <f>E22</f>
        <v>158956</v>
      </c>
      <c r="H22" s="17" t="s">
        <v>4</v>
      </c>
      <c r="I22" s="1"/>
    </row>
    <row r="23" spans="1:9" x14ac:dyDescent="0.25">
      <c r="A23" s="1"/>
      <c r="B23" s="68" t="s">
        <v>39</v>
      </c>
      <c r="C23" s="69"/>
      <c r="D23" s="69"/>
      <c r="E23" s="69"/>
      <c r="F23" s="70"/>
      <c r="G23" s="34">
        <f>G12+G14+G20+G22</f>
        <v>6927665.6261090962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mergeCells count="17"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G27" sqref="G27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106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40</v>
      </c>
      <c r="C9" s="73"/>
      <c r="D9" s="74"/>
      <c r="E9" s="35">
        <f>'Fane 2.1. Økonomisk ramme 2017'!$E$9-'Fane 2.1. Økonomisk ramme 2017'!$E$11</f>
        <v>6707466.9727757629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2450301.6729014195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85184.830554252185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73290.932086106695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6719360.871243909</v>
      </c>
      <c r="F13" s="17" t="s">
        <v>4</v>
      </c>
      <c r="G13" s="33">
        <f>E13</f>
        <v>6719360.871243909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105</v>
      </c>
      <c r="C15" s="76"/>
      <c r="D15" s="77"/>
      <c r="E15" s="37">
        <f>IF('Fane 5. Hist. over el. underdæk'!$G$12&gt;1,'Fane 5. Hist. over el. underdæk'!$G$13,0)</f>
        <v>-191557</v>
      </c>
      <c r="F15" s="17" t="s">
        <v>4</v>
      </c>
      <c r="G15" s="33">
        <f>E15</f>
        <v>-191557</v>
      </c>
      <c r="H15" s="17" t="s">
        <v>4</v>
      </c>
      <c r="I15" s="1"/>
    </row>
    <row r="16" spans="1:9" x14ac:dyDescent="0.25">
      <c r="A16" s="1"/>
      <c r="B16" s="68" t="s">
        <v>42</v>
      </c>
      <c r="C16" s="69"/>
      <c r="D16" s="69"/>
      <c r="E16" s="69"/>
      <c r="F16" s="70"/>
      <c r="G16" s="34">
        <f>G13+G15</f>
        <v>6527803.871243909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H19" sqref="H19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9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106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44</v>
      </c>
      <c r="C9" s="73"/>
      <c r="D9" s="74"/>
      <c r="E9" s="35">
        <f>'Fane 2.2. Økonomisk ramme 2018'!$E$9*1.0127-'Fane 2.2. Økonomisk ramme 2018'!$E$12</f>
        <v>6719360.8712439081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2481420.5041472674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85335.883064797628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72959.957565899036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6731736.7967428071</v>
      </c>
      <c r="F13" s="17" t="s">
        <v>4</v>
      </c>
      <c r="G13" s="33">
        <f>E13</f>
        <v>6731736.7967428071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105</v>
      </c>
      <c r="C15" s="76"/>
      <c r="D15" s="77"/>
      <c r="E15" s="37">
        <f>IF('Fane 5. Hist. over el. underdæk'!$G$12&gt;2,'Fane 5. Hist. over el. underdæk'!$G$13,0)</f>
        <v>-191557</v>
      </c>
      <c r="F15" s="17" t="s">
        <v>4</v>
      </c>
      <c r="G15" s="33">
        <f>E15</f>
        <v>-191557</v>
      </c>
      <c r="H15" s="17" t="s">
        <v>4</v>
      </c>
      <c r="I15" s="1"/>
    </row>
    <row r="16" spans="1:9" x14ac:dyDescent="0.25">
      <c r="A16" s="1"/>
      <c r="B16" s="68" t="s">
        <v>45</v>
      </c>
      <c r="C16" s="69"/>
      <c r="D16" s="69"/>
      <c r="E16" s="69"/>
      <c r="F16" s="70"/>
      <c r="G16" s="34">
        <f>G13+G15</f>
        <v>6540179.7967428071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>
      <selection activeCell="G18" sqref="G1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8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106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2" t="s">
        <v>46</v>
      </c>
      <c r="C9" s="73"/>
      <c r="D9" s="74"/>
      <c r="E9" s="35">
        <f>'Fane 2.3. Økonomisk ramme 2019'!$E$9*1.0127-'Fane 2.3. Økonomisk ramme 2019'!$E$12</f>
        <v>6731736.7967428062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2512934.5445499374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85493.057318633641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72630.477693527224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6744599.3763679126</v>
      </c>
      <c r="F13" s="17" t="s">
        <v>4</v>
      </c>
      <c r="G13" s="33">
        <f>E13</f>
        <v>6744599.3763679126</v>
      </c>
      <c r="H13" s="17" t="s">
        <v>4</v>
      </c>
      <c r="I13" s="1"/>
    </row>
    <row r="14" spans="1:9" x14ac:dyDescent="0.25">
      <c r="A14" s="1"/>
      <c r="B14" s="68" t="s">
        <v>32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5" t="s">
        <v>105</v>
      </c>
      <c r="C15" s="76"/>
      <c r="D15" s="77"/>
      <c r="E15" s="37">
        <f>IF('Fane 5. Hist. over el. underdæk'!$G$12&gt;3,'Fane 5. Hist. over el. underdæk'!$G$13,0)</f>
        <v>-191557</v>
      </c>
      <c r="F15" s="17" t="s">
        <v>4</v>
      </c>
      <c r="G15" s="33">
        <f>E15</f>
        <v>-191557</v>
      </c>
      <c r="H15" s="17" t="s">
        <v>4</v>
      </c>
      <c r="I15" s="1"/>
    </row>
    <row r="16" spans="1:9" x14ac:dyDescent="0.25">
      <c r="A16" s="1"/>
      <c r="B16" s="68" t="s">
        <v>47</v>
      </c>
      <c r="C16" s="69"/>
      <c r="D16" s="69"/>
      <c r="E16" s="69"/>
      <c r="F16" s="70"/>
      <c r="G16" s="34">
        <f>G13+G15</f>
        <v>6553042.3763679126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6"/>
  <sheetViews>
    <sheetView view="pageLayout" topLeftCell="A4" zoomScaleNormal="100" workbookViewId="0">
      <selection activeCell="G24" sqref="G24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7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ht="15" customHeight="1" x14ac:dyDescent="0.25">
      <c r="A5" s="1"/>
      <c r="B5" s="43"/>
      <c r="C5" s="43"/>
      <c r="D5" s="43"/>
      <c r="E5" s="43"/>
      <c r="F5" s="43"/>
      <c r="G5" s="43"/>
      <c r="H5" s="43"/>
      <c r="I5" s="1"/>
    </row>
    <row r="6" spans="1:9" ht="15" customHeight="1" x14ac:dyDescent="0.25">
      <c r="A6" s="1"/>
      <c r="B6" s="43"/>
      <c r="C6" s="43"/>
      <c r="D6" s="43"/>
      <c r="E6" s="43"/>
      <c r="F6" s="43"/>
      <c r="G6" s="43"/>
      <c r="H6" s="43"/>
      <c r="I6" s="1"/>
    </row>
    <row r="7" spans="1:9" ht="15" customHeight="1" x14ac:dyDescent="0.25">
      <c r="A7" s="1"/>
      <c r="B7" s="43"/>
      <c r="C7" s="43"/>
      <c r="D7" s="43"/>
      <c r="E7" s="43"/>
      <c r="F7" s="43"/>
      <c r="G7" s="43"/>
      <c r="H7" s="43"/>
      <c r="I7" s="1"/>
    </row>
    <row r="8" spans="1:9" ht="15" customHeight="1" x14ac:dyDescent="0.25">
      <c r="A8" s="1"/>
      <c r="B8" s="68" t="s">
        <v>129</v>
      </c>
      <c r="C8" s="69"/>
      <c r="D8" s="69"/>
      <c r="E8" s="69"/>
      <c r="F8" s="69"/>
      <c r="G8" s="69"/>
      <c r="H8" s="70"/>
      <c r="I8" s="1"/>
    </row>
    <row r="9" spans="1:9" ht="15" customHeight="1" x14ac:dyDescent="0.25">
      <c r="A9" s="1"/>
      <c r="B9" s="78" t="s">
        <v>100</v>
      </c>
      <c r="C9" s="79"/>
      <c r="D9" s="79"/>
      <c r="E9" s="79"/>
      <c r="F9" s="80"/>
      <c r="G9" s="36">
        <v>1804364.954027043</v>
      </c>
      <c r="H9" s="10" t="s">
        <v>4</v>
      </c>
      <c r="I9" s="1"/>
    </row>
    <row r="10" spans="1:9" ht="15" customHeight="1" x14ac:dyDescent="0.25">
      <c r="A10" s="1"/>
      <c r="B10" s="78" t="s">
        <v>101</v>
      </c>
      <c r="C10" s="79"/>
      <c r="D10" s="79"/>
      <c r="E10" s="79"/>
      <c r="F10" s="80"/>
      <c r="G10" s="36">
        <v>2379234.8977817502</v>
      </c>
      <c r="H10" s="10" t="s">
        <v>4</v>
      </c>
      <c r="I10" s="1"/>
    </row>
    <row r="11" spans="1:9" ht="15" customHeight="1" x14ac:dyDescent="0.25">
      <c r="A11" s="1"/>
      <c r="B11" s="78" t="s">
        <v>102</v>
      </c>
      <c r="C11" s="79"/>
      <c r="D11" s="79"/>
      <c r="E11" s="79"/>
      <c r="F11" s="80"/>
      <c r="G11" s="36">
        <v>2363873.8041014196</v>
      </c>
      <c r="H11" s="10" t="s">
        <v>4</v>
      </c>
      <c r="I11" s="1"/>
    </row>
    <row r="12" spans="1:9" ht="15" customHeight="1" x14ac:dyDescent="0.25">
      <c r="A12" s="1"/>
      <c r="B12" s="68" t="s">
        <v>48</v>
      </c>
      <c r="C12" s="69"/>
      <c r="D12" s="69"/>
      <c r="E12" s="69"/>
      <c r="F12" s="70"/>
      <c r="G12" s="34">
        <f>SUM(G9:G11)</f>
        <v>6547473.6559102125</v>
      </c>
      <c r="H12" s="18" t="s">
        <v>4</v>
      </c>
      <c r="I12" s="1"/>
    </row>
    <row r="13" spans="1:9" ht="15" customHeight="1" x14ac:dyDescent="0.25">
      <c r="A13" s="1"/>
      <c r="B13" s="43"/>
      <c r="C13" s="43"/>
      <c r="D13" s="43"/>
      <c r="E13" s="43"/>
      <c r="F13" s="43"/>
      <c r="G13" s="43"/>
      <c r="H13" s="43"/>
      <c r="I13" s="1"/>
    </row>
    <row r="14" spans="1:9" ht="15" customHeight="1" x14ac:dyDescent="0.25">
      <c r="A14" s="1"/>
      <c r="B14" s="68" t="s">
        <v>130</v>
      </c>
      <c r="C14" s="69"/>
      <c r="D14" s="69"/>
      <c r="E14" s="69"/>
      <c r="F14" s="69"/>
      <c r="G14" s="69"/>
      <c r="H14" s="70"/>
      <c r="I14" s="1"/>
    </row>
    <row r="15" spans="1:9" ht="15" customHeight="1" x14ac:dyDescent="0.25">
      <c r="A15" s="1"/>
      <c r="B15" s="78" t="s">
        <v>100</v>
      </c>
      <c r="C15" s="79"/>
      <c r="D15" s="79"/>
      <c r="E15" s="79"/>
      <c r="F15" s="80"/>
      <c r="G15" s="36">
        <f>61747*1.0127</f>
        <v>62531.186899999993</v>
      </c>
      <c r="H15" s="10" t="s">
        <v>4</v>
      </c>
      <c r="I15" s="1"/>
    </row>
    <row r="16" spans="1:9" ht="15" customHeight="1" x14ac:dyDescent="0.25">
      <c r="A16" s="1"/>
      <c r="B16" s="78" t="s">
        <v>101</v>
      </c>
      <c r="C16" s="79"/>
      <c r="D16" s="79"/>
      <c r="E16" s="79"/>
      <c r="F16" s="80"/>
      <c r="G16" s="36">
        <f>83596*1.0127</f>
        <v>84657.669199999989</v>
      </c>
      <c r="H16" s="10" t="s">
        <v>4</v>
      </c>
      <c r="I16" s="1"/>
    </row>
    <row r="17" spans="1:9" ht="15" customHeight="1" x14ac:dyDescent="0.25">
      <c r="A17" s="1"/>
      <c r="B17" s="78" t="s">
        <v>102</v>
      </c>
      <c r="C17" s="79"/>
      <c r="D17" s="79"/>
      <c r="E17" s="79"/>
      <c r="F17" s="80"/>
      <c r="G17" s="36">
        <f>85344*1.0127</f>
        <v>86427.868799999997</v>
      </c>
      <c r="H17" s="10" t="s">
        <v>4</v>
      </c>
      <c r="I17" s="1"/>
    </row>
    <row r="18" spans="1:9" ht="15" customHeight="1" x14ac:dyDescent="0.25">
      <c r="A18" s="1"/>
      <c r="B18" s="68" t="s">
        <v>48</v>
      </c>
      <c r="C18" s="69"/>
      <c r="D18" s="69"/>
      <c r="E18" s="69"/>
      <c r="F18" s="70"/>
      <c r="G18" s="34">
        <f>SUM(G15:G17)</f>
        <v>233616.72489999997</v>
      </c>
      <c r="H18" s="18" t="s">
        <v>4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68" t="s">
        <v>131</v>
      </c>
      <c r="C20" s="69"/>
      <c r="D20" s="69"/>
      <c r="E20" s="69"/>
      <c r="F20" s="69"/>
      <c r="G20" s="69"/>
      <c r="H20" s="70"/>
      <c r="I20" s="1"/>
    </row>
    <row r="21" spans="1:9" x14ac:dyDescent="0.25">
      <c r="A21" s="1"/>
      <c r="B21" s="78" t="s">
        <v>100</v>
      </c>
      <c r="C21" s="79"/>
      <c r="D21" s="79"/>
      <c r="E21" s="79"/>
      <c r="F21" s="80"/>
      <c r="G21" s="36">
        <f>G9+G15</f>
        <v>1866896.140927043</v>
      </c>
      <c r="H21" s="10" t="s">
        <v>4</v>
      </c>
      <c r="I21" s="1"/>
    </row>
    <row r="22" spans="1:9" x14ac:dyDescent="0.25">
      <c r="A22" s="1"/>
      <c r="B22" s="78" t="s">
        <v>101</v>
      </c>
      <c r="C22" s="79"/>
      <c r="D22" s="79"/>
      <c r="E22" s="79"/>
      <c r="F22" s="80"/>
      <c r="G22" s="36">
        <f t="shared" ref="G22:G23" si="0">G10+G16</f>
        <v>2463892.5669817501</v>
      </c>
      <c r="H22" s="10" t="s">
        <v>4</v>
      </c>
      <c r="I22" s="1"/>
    </row>
    <row r="23" spans="1:9" x14ac:dyDescent="0.25">
      <c r="A23" s="1"/>
      <c r="B23" s="78" t="s">
        <v>102</v>
      </c>
      <c r="C23" s="79"/>
      <c r="D23" s="79"/>
      <c r="E23" s="79"/>
      <c r="F23" s="80"/>
      <c r="G23" s="36">
        <f t="shared" si="0"/>
        <v>2450301.6729014195</v>
      </c>
      <c r="H23" s="10" t="s">
        <v>4</v>
      </c>
      <c r="I23" s="1"/>
    </row>
    <row r="24" spans="1:9" x14ac:dyDescent="0.25">
      <c r="A24" s="1"/>
      <c r="B24" s="68" t="s">
        <v>48</v>
      </c>
      <c r="C24" s="69"/>
      <c r="D24" s="69"/>
      <c r="E24" s="69"/>
      <c r="F24" s="70"/>
      <c r="G24" s="34">
        <f>SUM(G21:G23)</f>
        <v>6781090.3808102123</v>
      </c>
      <c r="H24" s="18" t="s">
        <v>4</v>
      </c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22" t="s">
        <v>132</v>
      </c>
      <c r="C26" s="21"/>
      <c r="D26" s="21"/>
      <c r="E26" s="21"/>
      <c r="F26" s="21"/>
      <c r="G26" s="21"/>
      <c r="H26" s="21"/>
      <c r="I26" s="1"/>
    </row>
    <row r="27" spans="1:9" x14ac:dyDescent="0.25">
      <c r="A27" s="1"/>
      <c r="B27" s="22" t="s">
        <v>133</v>
      </c>
      <c r="C27" s="21"/>
      <c r="D27" s="21"/>
      <c r="E27" s="21"/>
      <c r="F27" s="21"/>
      <c r="G27" s="21"/>
      <c r="H27" s="2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mergeCells count="16">
    <mergeCell ref="B24:F24"/>
    <mergeCell ref="B20:H20"/>
    <mergeCell ref="B3:H4"/>
    <mergeCell ref="B23:F23"/>
    <mergeCell ref="B22:F22"/>
    <mergeCell ref="B21:F21"/>
    <mergeCell ref="B8:H8"/>
    <mergeCell ref="B9:F9"/>
    <mergeCell ref="B10:F10"/>
    <mergeCell ref="B11:F11"/>
    <mergeCell ref="B12:F12"/>
    <mergeCell ref="B14:H14"/>
    <mergeCell ref="B15:F15"/>
    <mergeCell ref="B16:F16"/>
    <mergeCell ref="B17:F17"/>
    <mergeCell ref="B18:F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>
      <selection activeCell="D12" sqref="D12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123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103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107</v>
      </c>
      <c r="C9" s="79"/>
      <c r="D9" s="79"/>
      <c r="E9" s="79"/>
      <c r="F9" s="80"/>
      <c r="G9" s="20">
        <f>'Fane 3. Grundlag'!G24-'Fane 3. Grundlag'!G23</f>
        <v>4330788.7079087924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2">
        <f>1.7</f>
        <v>1.7</v>
      </c>
      <c r="H10" s="10" t="s">
        <v>75</v>
      </c>
      <c r="I10" s="1"/>
    </row>
    <row r="11" spans="1:9" x14ac:dyDescent="0.25">
      <c r="A11" s="1"/>
      <c r="B11" s="68" t="s">
        <v>28</v>
      </c>
      <c r="C11" s="69"/>
      <c r="D11" s="69"/>
      <c r="E11" s="69"/>
      <c r="F11" s="70"/>
      <c r="G11" s="34">
        <f>$G$9*$G$10/100</f>
        <v>73623.408034449472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124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8" t="s">
        <v>104</v>
      </c>
      <c r="C8" s="69"/>
      <c r="D8" s="69"/>
      <c r="E8" s="69"/>
      <c r="F8" s="69"/>
      <c r="G8" s="69"/>
      <c r="H8" s="70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-1956106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-1189878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-766228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68" t="s">
        <v>76</v>
      </c>
      <c r="C13" s="69"/>
      <c r="D13" s="69"/>
      <c r="E13" s="69"/>
      <c r="F13" s="70"/>
      <c r="G13" s="34">
        <f>G11/G12</f>
        <v>-191557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topLeftCell="A7" zoomScaleNormal="100" workbookViewId="0">
      <selection activeCell="B6" sqref="B6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1" t="s">
        <v>125</v>
      </c>
      <c r="C3" s="71"/>
      <c r="D3" s="71"/>
      <c r="E3" s="71"/>
      <c r="F3" s="71"/>
      <c r="G3" s="71"/>
      <c r="H3" s="1"/>
    </row>
    <row r="4" spans="1:8" ht="15" customHeight="1" x14ac:dyDescent="0.25">
      <c r="A4" s="1"/>
      <c r="B4" s="71"/>
      <c r="C4" s="71"/>
      <c r="D4" s="71"/>
      <c r="E4" s="71"/>
      <c r="F4" s="71"/>
      <c r="G4" s="7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8" t="s">
        <v>6</v>
      </c>
      <c r="C8" s="69"/>
      <c r="D8" s="69"/>
      <c r="E8" s="69"/>
      <c r="F8" s="69"/>
      <c r="G8" s="70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1" t="s">
        <v>109</v>
      </c>
      <c r="C10" s="39">
        <v>2015</v>
      </c>
      <c r="D10" s="39">
        <v>75</v>
      </c>
      <c r="E10" s="36">
        <v>593350</v>
      </c>
      <c r="F10" s="20">
        <f>E10/D10</f>
        <v>7911.333333333333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75</v>
      </c>
      <c r="E11" s="36">
        <v>664791</v>
      </c>
      <c r="F11" s="20">
        <f t="shared" ref="F11:F21" si="0">E11/D11</f>
        <v>8863.8799999999992</v>
      </c>
      <c r="G11" s="10" t="s">
        <v>4</v>
      </c>
      <c r="H11" s="1"/>
    </row>
    <row r="12" spans="1:8" ht="26.25" x14ac:dyDescent="0.25">
      <c r="A12" s="1"/>
      <c r="B12" s="41" t="s">
        <v>111</v>
      </c>
      <c r="C12" s="39">
        <v>2015</v>
      </c>
      <c r="D12" s="39">
        <v>10</v>
      </c>
      <c r="E12" s="36">
        <v>204839</v>
      </c>
      <c r="F12" s="20">
        <f t="shared" si="0"/>
        <v>20483.900000000001</v>
      </c>
      <c r="G12" s="10" t="s">
        <v>4</v>
      </c>
      <c r="H12" s="1"/>
    </row>
    <row r="13" spans="1:8" ht="26.25" x14ac:dyDescent="0.25">
      <c r="A13" s="1"/>
      <c r="B13" s="41" t="s">
        <v>112</v>
      </c>
      <c r="C13" s="39">
        <v>2015</v>
      </c>
      <c r="D13" s="39">
        <v>15</v>
      </c>
      <c r="E13" s="36">
        <v>35000</v>
      </c>
      <c r="F13" s="20">
        <f t="shared" si="0"/>
        <v>2333.3333333333335</v>
      </c>
      <c r="G13" s="10" t="s">
        <v>4</v>
      </c>
      <c r="H13" s="1"/>
    </row>
    <row r="14" spans="1:8" ht="26.25" x14ac:dyDescent="0.25">
      <c r="A14" s="1"/>
      <c r="B14" s="41" t="s">
        <v>113</v>
      </c>
      <c r="C14" s="39">
        <v>2015</v>
      </c>
      <c r="D14" s="39">
        <v>50</v>
      </c>
      <c r="E14" s="36">
        <v>83115</v>
      </c>
      <c r="F14" s="20">
        <f t="shared" si="0"/>
        <v>1662.3</v>
      </c>
      <c r="G14" s="10" t="s">
        <v>4</v>
      </c>
      <c r="H14" s="1"/>
    </row>
    <row r="15" spans="1:8" ht="26.25" x14ac:dyDescent="0.25">
      <c r="A15" s="1"/>
      <c r="B15" s="41" t="s">
        <v>114</v>
      </c>
      <c r="C15" s="39">
        <v>2015</v>
      </c>
      <c r="D15" s="39">
        <v>30</v>
      </c>
      <c r="E15" s="36">
        <v>465383</v>
      </c>
      <c r="F15" s="20">
        <f t="shared" si="0"/>
        <v>15512.766666666666</v>
      </c>
      <c r="G15" s="10" t="s">
        <v>4</v>
      </c>
      <c r="H15" s="1"/>
    </row>
    <row r="16" spans="1:8" ht="26.25" x14ac:dyDescent="0.25">
      <c r="A16" s="1"/>
      <c r="B16" s="41" t="s">
        <v>115</v>
      </c>
      <c r="C16" s="39">
        <v>2015</v>
      </c>
      <c r="D16" s="39">
        <v>50</v>
      </c>
      <c r="E16" s="36">
        <v>19774</v>
      </c>
      <c r="F16" s="20">
        <f t="shared" si="0"/>
        <v>395.48</v>
      </c>
      <c r="G16" s="10" t="s">
        <v>4</v>
      </c>
      <c r="H16" s="1"/>
    </row>
    <row r="17" spans="1:8" ht="26.25" x14ac:dyDescent="0.25">
      <c r="A17" s="1"/>
      <c r="B17" s="41" t="s">
        <v>116</v>
      </c>
      <c r="C17" s="39">
        <v>2015</v>
      </c>
      <c r="D17" s="39">
        <v>25</v>
      </c>
      <c r="E17" s="36">
        <v>60000</v>
      </c>
      <c r="F17" s="20">
        <f t="shared" si="0"/>
        <v>2400</v>
      </c>
      <c r="G17" s="10" t="s">
        <v>4</v>
      </c>
      <c r="H17" s="1"/>
    </row>
    <row r="18" spans="1:8" x14ac:dyDescent="0.25">
      <c r="A18" s="1"/>
      <c r="B18" s="41" t="s">
        <v>117</v>
      </c>
      <c r="C18" s="39">
        <v>2015</v>
      </c>
      <c r="D18" s="39">
        <v>5</v>
      </c>
      <c r="E18" s="36">
        <v>184417</v>
      </c>
      <c r="F18" s="20">
        <f t="shared" si="0"/>
        <v>36883.4</v>
      </c>
      <c r="G18" s="10" t="s">
        <v>4</v>
      </c>
      <c r="H18" s="1"/>
    </row>
    <row r="19" spans="1:8" x14ac:dyDescent="0.25">
      <c r="A19" s="1"/>
      <c r="B19" s="41" t="s">
        <v>118</v>
      </c>
      <c r="C19" s="39">
        <v>2015</v>
      </c>
      <c r="D19" s="39">
        <v>5</v>
      </c>
      <c r="E19" s="36">
        <v>79740</v>
      </c>
      <c r="F19" s="20">
        <f t="shared" si="0"/>
        <v>15948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5</v>
      </c>
      <c r="E20" s="36">
        <v>22469</v>
      </c>
      <c r="F20" s="20">
        <f t="shared" si="0"/>
        <v>4493.8</v>
      </c>
      <c r="G20" s="10" t="s">
        <v>4</v>
      </c>
      <c r="H20" s="1"/>
    </row>
    <row r="21" spans="1:8" x14ac:dyDescent="0.25">
      <c r="A21" s="1"/>
      <c r="B21" s="41" t="s">
        <v>120</v>
      </c>
      <c r="C21" s="39">
        <v>2015</v>
      </c>
      <c r="D21" s="39">
        <v>15</v>
      </c>
      <c r="E21" s="36">
        <v>121337</v>
      </c>
      <c r="F21" s="20">
        <f t="shared" si="0"/>
        <v>8089.1333333333332</v>
      </c>
      <c r="G21" s="10" t="s">
        <v>4</v>
      </c>
      <c r="H21" s="1"/>
    </row>
    <row r="22" spans="1:8" x14ac:dyDescent="0.25">
      <c r="A22" s="1"/>
      <c r="B22" s="68" t="s">
        <v>5</v>
      </c>
      <c r="C22" s="69"/>
      <c r="D22" s="69"/>
      <c r="E22" s="70"/>
      <c r="F22" s="34">
        <f>SUM(F10:F21)</f>
        <v>124977.32666666668</v>
      </c>
      <c r="G22" s="1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ht="14.25" x14ac:dyDescent="0.4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</sheetData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2018-03-25T14:57:22Z</dcterms:modified>
</cp:coreProperties>
</file>