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firstSheet="1" activeTab="3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0" i="22" l="1"/>
  <c r="G11" i="7"/>
  <c r="G10" i="7"/>
  <c r="G9" i="7"/>
  <c r="G14" i="19" l="1"/>
  <c r="E14" i="19"/>
  <c r="G13" i="10" l="1"/>
  <c r="G11" i="10" l="1"/>
  <c r="K12" i="22"/>
  <c r="K11" i="22"/>
  <c r="F18" i="20"/>
  <c r="F19" i="20" s="1"/>
  <c r="K20" i="22" l="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0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<sst xmlns="http://schemas.openxmlformats.org/spreadsheetml/2006/main" count="335" uniqueCount="152">
  <si>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</si>
  <si>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</si>
  <si>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</si>
  <si>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</si>
  <si>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</si>
  <si>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</si>
  <si>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</si>
  <si>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</si>
  <si>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</si>
  <si>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</si>
  <si>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</si>
  <si>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</si>
  <si>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</si>
  <si>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</si>
  <si>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</si>
  <si>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</si>
  <si>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</si>
  <si>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</si>
  <si>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</si>
  <si>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</si>
  <si>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</si>
  <si>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</si>
  <si>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</si>
  <si>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</si>
  <si>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</si>
  <si>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</si>
  <si>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</si>
  <si>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</si>
  <si>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</si>
  <si>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</si>
  <si>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</si>
  <si>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</si>
  <si>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</si>
  <si>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</si>
  <si>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</si>
  <si>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</si>
  <si>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</si>
  <si>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</si>
  <si>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</si>
  <si>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</si>
  <si>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</si>
  <si>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</si>
  <si>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</si>
  <si>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</si>
  <si>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</si>
  <si>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</si>
  <si>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</si>
  <si>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</si>
  <si>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</si>
  <si>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</si>
  <si>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</si>
  <si>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</si>
  <si>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</si>
  <si>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</si>
  <si>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</si>
  <si>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</si>
  <si>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</si>
  <si>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</si>
  <si>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</si>
  <si>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</si>
  <si>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</si>
  <si>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</si>
  <si>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</si>
  <si>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</si>
  <si>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</si>
  <si>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</si>
  <si>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</si>
  <si>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</si>
  <si>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</si>
  <si>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</si>
  <si>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</si>
  <si>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</si>
  <si>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</si>
  <si>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</si>
  <si>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</si>
  <si>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</si>
  <si>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</si>
  <si>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</si>
  <si>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</si>
  <si>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</si>
  <si>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</si>
  <si>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</si>
  <si>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</si>
  <si>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</si>
  <si>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</si>
  <si>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</si>
  <si>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</si>
  <si>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</si>
  <si>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</si>
  <si>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</si>
  <si>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</si>
  <si>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</si>
  <si>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</si>
  <si>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</si>
  <si>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</si>
  <si>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</si>
  <si>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</si>
  <si>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</si>
  <si>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</si>
  <si>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</si>
  <si>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</si>
  <si>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</si>
  <si>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</si>
  <si>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</si>
  <si>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</si>
  <si>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</si>
  <si>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</si>
  <si>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</si>
  <si>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</si>
  <si>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</si>
  <si>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</si>
  <si>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</si>
  <si>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</si>
  <si>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</si>
  <si>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</si>
  <si>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</si>
  <si>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Udpumpningsanlæg, Freqvensomformer</t>
  </si>
  <si>
    <t>Ø 50mm &lt; Ledningsnet ≤ Ø110 mm</t>
  </si>
  <si>
    <t>Ø110 mm &lt; Ledningsnet ≤ Ø 250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</si>
  <si>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</si>
  <si>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</si>
  <si>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</si>
  <si>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</si>
  <si>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</si>
  <si>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</si>
  <si>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Beholderanlæg - højdebeholder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</si>
  <si>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</si>
  <si>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</si>
  <si>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</si>
  <si>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</si>
  <si>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</si>
  <si>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</si>
  <si>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</si>
  <si>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</si>
  <si>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</si>
  <si>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</si>
  <si>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</si>
  <si>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</si>
  <si>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</si>
  <si>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</si>
  <si>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</si>
  <si>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</si>
  <si>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</si>
  <si>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</si>
  <si>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</si>
  <si>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</si>
  <si>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</si>
  <si>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</si>
  <si>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</si>
  <si>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</si>
  <si>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</si>
  <si>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 xml:space="preserve">Beregningen af de enkelte komponenter i grundlaget fremgår af bilag B og bilag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</si>
</sst>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115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112</v>
      </c>
      <c r="D13" s="76" t="s">
        <v>113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47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50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70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91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49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45</v>
      </c>
      <c r="D21" s="61" t="s">
        <v>48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102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79</v>
      </c>
      <c r="C9" s="33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83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93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topLeftCell="A7" zoomScaleNormal="100" workbookViewId="0">
      <selection activeCell="K21" sqref="K21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4.25" x14ac:dyDescent="0.4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104</v>
      </c>
      <c r="C9" s="86"/>
      <c r="D9" s="87"/>
      <c r="E9" s="48">
        <v>3714373</v>
      </c>
      <c r="F9" s="13" t="s">
        <v>4</v>
      </c>
      <c r="G9" s="48">
        <v>3723974</v>
      </c>
      <c r="H9" s="13" t="s">
        <v>4</v>
      </c>
      <c r="I9" s="48">
        <v>3733904</v>
      </c>
      <c r="J9" s="13" t="s">
        <v>4</v>
      </c>
      <c r="K9" s="57" t="s">
        <v>105</v>
      </c>
      <c r="L9" s="40" t="s">
        <v>4</v>
      </c>
      <c r="M9" s="2"/>
    </row>
    <row r="10" spans="1:13" x14ac:dyDescent="0.25">
      <c r="A10" s="2"/>
      <c r="B10" s="82" t="s">
        <v>71</v>
      </c>
      <c r="C10" s="80"/>
      <c r="D10" s="81"/>
      <c r="E10" s="41" t="s">
        <v>105</v>
      </c>
      <c r="F10" s="8" t="s">
        <v>4</v>
      </c>
      <c r="G10" s="41" t="s">
        <v>105</v>
      </c>
      <c r="H10" s="8" t="s">
        <v>4</v>
      </c>
      <c r="I10" s="41" t="s">
        <v>105</v>
      </c>
      <c r="J10" s="8" t="s">
        <v>4</v>
      </c>
      <c r="K10" s="42">
        <f>'Fane 3. Korrigeret grundlag'!G9*(1+E25/100)^3</f>
        <v>1280687.999881797</v>
      </c>
      <c r="L10" s="8" t="s">
        <v>4</v>
      </c>
      <c r="M10" s="2"/>
    </row>
    <row r="11" spans="1:13" x14ac:dyDescent="0.25">
      <c r="A11" s="2"/>
      <c r="B11" s="46" t="s">
        <v>72</v>
      </c>
      <c r="C11" s="44"/>
      <c r="D11" s="45"/>
      <c r="E11" s="41" t="s">
        <v>105</v>
      </c>
      <c r="F11" s="8" t="s">
        <v>4</v>
      </c>
      <c r="G11" s="41" t="s">
        <v>105</v>
      </c>
      <c r="H11" s="8" t="s">
        <v>4</v>
      </c>
      <c r="I11" s="41" t="s">
        <v>105</v>
      </c>
      <c r="J11" s="8" t="s">
        <v>4</v>
      </c>
      <c r="K11" s="42">
        <f>'Fane 3. Korrigeret grundlag'!G10*(1+E25/100)^3</f>
        <v>1641479.5445778179</v>
      </c>
      <c r="L11" s="8" t="s">
        <v>4</v>
      </c>
      <c r="M11" s="2"/>
    </row>
    <row r="12" spans="1:13" x14ac:dyDescent="0.25">
      <c r="A12" s="2"/>
      <c r="B12" s="46" t="s">
        <v>89</v>
      </c>
      <c r="C12" s="44"/>
      <c r="D12" s="45"/>
      <c r="E12" s="41" t="s">
        <v>105</v>
      </c>
      <c r="F12" s="8" t="s">
        <v>4</v>
      </c>
      <c r="G12" s="41" t="s">
        <v>105</v>
      </c>
      <c r="H12" s="8" t="s">
        <v>4</v>
      </c>
      <c r="I12" s="41" t="s">
        <v>105</v>
      </c>
      <c r="J12" s="8" t="s">
        <v>4</v>
      </c>
      <c r="K12" s="42">
        <f>'Fane 3. Korrigeret grundlag'!G11*(1+E25/100)^3</f>
        <v>1774842.2818163245</v>
      </c>
      <c r="L12" s="8" t="s">
        <v>4</v>
      </c>
      <c r="M12" s="2"/>
    </row>
    <row r="13" spans="1:13" x14ac:dyDescent="0.25">
      <c r="A13" s="2"/>
      <c r="B13" s="46" t="s">
        <v>150</v>
      </c>
      <c r="C13" s="44"/>
      <c r="D13" s="45"/>
      <c r="E13" s="41" t="s">
        <v>105</v>
      </c>
      <c r="F13" s="8" t="s">
        <v>4</v>
      </c>
      <c r="G13" s="41" t="s">
        <v>105</v>
      </c>
      <c r="H13" s="8" t="s">
        <v>4</v>
      </c>
      <c r="I13" s="41" t="s">
        <v>105</v>
      </c>
      <c r="J13" s="8" t="s">
        <v>4</v>
      </c>
      <c r="K13" s="42">
        <v>-184454</v>
      </c>
      <c r="L13" s="8" t="s">
        <v>4</v>
      </c>
      <c r="M13" s="2"/>
    </row>
    <row r="14" spans="1:13" x14ac:dyDescent="0.25">
      <c r="A14" s="2"/>
      <c r="B14" s="82" t="s">
        <v>106</v>
      </c>
      <c r="C14" s="80"/>
      <c r="D14" s="81"/>
      <c r="E14" s="42">
        <f>'Fane 4. Ikke-påvirkelige omk.'!G19</f>
        <v>-123781.00564499981</v>
      </c>
      <c r="F14" s="8" t="s">
        <v>4</v>
      </c>
      <c r="G14" s="9">
        <f>E14*(1+$E$25/100)</f>
        <v>-125947.17324378731</v>
      </c>
      <c r="H14" s="8" t="s">
        <v>4</v>
      </c>
      <c r="I14" s="9">
        <f>G14*(1+$E$25/100)</f>
        <v>-128151.2487755536</v>
      </c>
      <c r="J14" s="8" t="s">
        <v>4</v>
      </c>
      <c r="K14" s="51">
        <f>I14*(1+$E$25/100)</f>
        <v>-130393.89562912579</v>
      </c>
      <c r="L14" s="8" t="s">
        <v>4</v>
      </c>
      <c r="M14" s="2"/>
    </row>
    <row r="15" spans="1:13" x14ac:dyDescent="0.25">
      <c r="A15" s="2"/>
      <c r="B15" s="82" t="s">
        <v>70</v>
      </c>
      <c r="C15" s="80"/>
      <c r="D15" s="81"/>
      <c r="E15" s="41" t="s">
        <v>105</v>
      </c>
      <c r="F15" s="8" t="s">
        <v>4</v>
      </c>
      <c r="G15" s="41" t="s">
        <v>105</v>
      </c>
      <c r="H15" s="8" t="s">
        <v>4</v>
      </c>
      <c r="I15" s="41" t="s">
        <v>105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-89909.84666666665</v>
      </c>
      <c r="L15" s="8" t="s">
        <v>4</v>
      </c>
      <c r="M15" s="2"/>
    </row>
    <row r="16" spans="1:13" x14ac:dyDescent="0.25">
      <c r="A16" s="2"/>
      <c r="B16" s="79" t="s">
        <v>107</v>
      </c>
      <c r="C16" s="80"/>
      <c r="D16" s="81"/>
      <c r="E16" s="41" t="s">
        <v>105</v>
      </c>
      <c r="F16" s="8" t="s">
        <v>4</v>
      </c>
      <c r="G16" s="41" t="s">
        <v>105</v>
      </c>
      <c r="H16" s="8" t="s">
        <v>4</v>
      </c>
      <c r="I16" s="41" t="s">
        <v>105</v>
      </c>
      <c r="J16" s="8" t="s">
        <v>4</v>
      </c>
      <c r="K16" s="51">
        <f>'Fane 8. Kontrol af PL2016'!G36</f>
        <v>135528.06883901078</v>
      </c>
      <c r="L16" s="8" t="s">
        <v>4</v>
      </c>
      <c r="M16" s="2"/>
    </row>
    <row r="17" spans="1:13" x14ac:dyDescent="0.25">
      <c r="A17" s="2"/>
      <c r="B17" s="79" t="s">
        <v>108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78</v>
      </c>
      <c r="C18" s="80"/>
      <c r="D18" s="81"/>
      <c r="E18" s="41" t="s">
        <v>105</v>
      </c>
      <c r="F18" s="8" t="s">
        <v>4</v>
      </c>
      <c r="G18" s="41" t="s">
        <v>105</v>
      </c>
      <c r="H18" s="8" t="s">
        <v>4</v>
      </c>
      <c r="I18" s="41" t="s">
        <v>105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46</v>
      </c>
      <c r="C19" s="80"/>
      <c r="D19" s="81"/>
      <c r="E19" s="42">
        <f>(E17+E14)*($E$25/100)</f>
        <v>-2166.1675987874969</v>
      </c>
      <c r="F19" s="8" t="s">
        <v>4</v>
      </c>
      <c r="G19" s="42">
        <f>(G17+G14)*($E$25/100)</f>
        <v>-2204.0755317662783</v>
      </c>
      <c r="H19" s="8" t="s">
        <v>4</v>
      </c>
      <c r="I19" s="42">
        <f>(I17+I14)*($E$25/100)</f>
        <v>-2242.6468535721883</v>
      </c>
      <c r="J19" s="8" t="s">
        <v>4</v>
      </c>
      <c r="K19" s="42">
        <f>SUM(K10:K14,K17:K18)*($E$25/100)</f>
        <v>76687.833786319243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-47355.60003529019</v>
      </c>
      <c r="L20" s="8" t="s">
        <v>4</v>
      </c>
      <c r="M20" s="2"/>
    </row>
    <row r="21" spans="1:13" x14ac:dyDescent="0.25">
      <c r="A21" s="2"/>
      <c r="B21" s="37" t="s">
        <v>109</v>
      </c>
      <c r="C21" s="38"/>
      <c r="D21" s="38"/>
      <c r="E21" s="49">
        <f>SUM(E9:E20)</f>
        <v>3588425.8267562124</v>
      </c>
      <c r="F21" s="38" t="s">
        <v>4</v>
      </c>
      <c r="G21" s="49">
        <f>SUM(G9:G20)</f>
        <v>3595822.7512244466</v>
      </c>
      <c r="H21" s="38" t="s">
        <v>4</v>
      </c>
      <c r="I21" s="49">
        <f>SUM(I9:I20)</f>
        <v>3603510.1043708744</v>
      </c>
      <c r="J21" s="38" t="s">
        <v>4</v>
      </c>
      <c r="K21" s="52">
        <f>SUM(K9:K20)</f>
        <v>4457112.3865701864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110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111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4.2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9" sqref="G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95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71</v>
      </c>
      <c r="C9" s="80"/>
      <c r="D9" s="80"/>
      <c r="E9" s="80"/>
      <c r="F9" s="81"/>
      <c r="G9" s="21">
        <f>1001405.26579841+214333</f>
        <v>1215738.2657984099</v>
      </c>
      <c r="H9" s="17" t="s">
        <v>4</v>
      </c>
      <c r="I9" s="2"/>
    </row>
    <row r="10" spans="1:9" x14ac:dyDescent="0.25">
      <c r="A10" s="2"/>
      <c r="B10" s="79" t="s">
        <v>72</v>
      </c>
      <c r="C10" s="80"/>
      <c r="D10" s="80"/>
      <c r="E10" s="80"/>
      <c r="F10" s="81"/>
      <c r="G10" s="21">
        <f>1431379.36811213+126853</f>
        <v>1558232.3681121301</v>
      </c>
      <c r="H10" s="17" t="s">
        <v>4</v>
      </c>
      <c r="I10" s="2"/>
    </row>
    <row r="11" spans="1:9" x14ac:dyDescent="0.25">
      <c r="A11" s="2"/>
      <c r="B11" s="79" t="s">
        <v>89</v>
      </c>
      <c r="C11" s="80"/>
      <c r="D11" s="80"/>
      <c r="E11" s="80"/>
      <c r="F11" s="81"/>
      <c r="G11" s="21">
        <f>1450597.6513938+234234</f>
        <v>1684831.6513938</v>
      </c>
      <c r="H11" s="17" t="s">
        <v>4</v>
      </c>
      <c r="I11" s="2"/>
    </row>
    <row r="12" spans="1:9" ht="17.25" customHeight="1" x14ac:dyDescent="0.25">
      <c r="A12" s="2"/>
      <c r="B12" s="88" t="s">
        <v>92</v>
      </c>
      <c r="C12" s="89"/>
      <c r="D12" s="89"/>
      <c r="E12" s="89"/>
      <c r="F12" s="90"/>
      <c r="G12" s="15">
        <f>SUM(G9:G11)</f>
        <v>4458802.2853043396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151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87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tabSelected="1" view="pageLayout" zoomScaleNormal="100" workbookViewId="0">
      <selection activeCell="P9" sqref="P9:Q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74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76</v>
      </c>
      <c r="C9" s="86"/>
      <c r="D9" s="87"/>
      <c r="E9" s="13" t="s">
        <v>75</v>
      </c>
      <c r="F9" s="13"/>
      <c r="G9" s="13" t="s">
        <v>90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5">
        <v>0</v>
      </c>
      <c r="F12" s="17" t="s">
        <v>4</v>
      </c>
      <c r="G12" s="21">
        <v>3453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5">
        <v>32399.4126</v>
      </c>
      <c r="F13" s="17" t="s">
        <v>4</v>
      </c>
      <c r="G13" s="21">
        <v>2986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5">
        <f>1400006.6814+230238</f>
        <v>1630244.6813999999</v>
      </c>
      <c r="F14" s="17" t="s">
        <v>4</v>
      </c>
      <c r="G14" s="21">
        <f>1304315+230238</f>
        <v>1534553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5">
        <v>1059</v>
      </c>
      <c r="F16" s="17" t="s">
        <v>4</v>
      </c>
      <c r="G16" s="21">
        <v>1059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85</v>
      </c>
      <c r="C18" s="92"/>
      <c r="D18" s="92"/>
      <c r="E18" s="92"/>
      <c r="F18" s="93"/>
      <c r="G18" s="15">
        <f>SUM(G10:G17)-SUM(E10:E17)</f>
        <v>-121652.09399999981</v>
      </c>
      <c r="H18" s="16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G18*(1+'Fane 2. Overblik ØR18-21'!E25/100)</f>
        <v>-123781.00564499981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97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-6690838</v>
      </c>
      <c r="H9" s="17" t="s">
        <v>4</v>
      </c>
      <c r="I9" s="2"/>
    </row>
    <row r="10" spans="1:9" x14ac:dyDescent="0.25">
      <c r="A10" s="2"/>
      <c r="B10" s="79" t="s">
        <v>80</v>
      </c>
      <c r="C10" s="80"/>
      <c r="D10" s="80"/>
      <c r="E10" s="80"/>
      <c r="F10" s="81"/>
      <c r="G10" s="21">
        <v>-4697903.7566137565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-1992934.2433862435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81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-664311.41446208116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98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50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116</v>
      </c>
      <c r="C10" s="28">
        <v>2016</v>
      </c>
      <c r="D10" s="22">
        <v>25</v>
      </c>
      <c r="E10" s="21">
        <v>107000</v>
      </c>
      <c r="F10" s="9">
        <f>E10/D10</f>
        <v>4280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75</v>
      </c>
      <c r="E11" s="21">
        <v>77245</v>
      </c>
      <c r="F11" s="9">
        <f t="shared" ref="F11:F20" si="0">E11/D11</f>
        <v>1029.9333333333334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20102</v>
      </c>
      <c r="F12" s="9">
        <f t="shared" si="0"/>
        <v>268.02666666666664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75</v>
      </c>
      <c r="E13" s="21">
        <v>3087877</v>
      </c>
      <c r="F13" s="9">
        <f t="shared" si="0"/>
        <v>41171.693333333336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30567</v>
      </c>
      <c r="F14" s="9">
        <f t="shared" si="0"/>
        <v>407.56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52327</v>
      </c>
      <c r="F15" s="9">
        <f t="shared" si="0"/>
        <v>697.69333333333338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75</v>
      </c>
      <c r="E16" s="21">
        <v>2642</v>
      </c>
      <c r="F16" s="9">
        <f t="shared" si="0"/>
        <v>35.226666666666667</v>
      </c>
      <c r="G16" s="17" t="s">
        <v>4</v>
      </c>
      <c r="H16" s="2"/>
    </row>
    <row r="17" spans="1:8" x14ac:dyDescent="0.25">
      <c r="A17" s="2"/>
      <c r="B17" s="43" t="s">
        <v>123</v>
      </c>
      <c r="C17" s="28">
        <v>2016</v>
      </c>
      <c r="D17" s="22">
        <v>75</v>
      </c>
      <c r="E17" s="21">
        <v>60867</v>
      </c>
      <c r="F17" s="9">
        <f t="shared" si="0"/>
        <v>811.56</v>
      </c>
      <c r="G17" s="17" t="s">
        <v>4</v>
      </c>
      <c r="H17" s="2"/>
    </row>
    <row r="18" spans="1:8" x14ac:dyDescent="0.25">
      <c r="A18" s="2"/>
      <c r="B18" s="43" t="s">
        <v>124</v>
      </c>
      <c r="C18" s="28">
        <v>2016</v>
      </c>
      <c r="D18" s="22">
        <v>75</v>
      </c>
      <c r="E18" s="21">
        <v>125291</v>
      </c>
      <c r="F18" s="9">
        <f t="shared" si="0"/>
        <v>1670.5466666666666</v>
      </c>
      <c r="G18" s="17" t="s">
        <v>4</v>
      </c>
      <c r="H18" s="2"/>
    </row>
    <row r="19" spans="1:8" x14ac:dyDescent="0.25">
      <c r="A19" s="2"/>
      <c r="B19" s="43" t="s">
        <v>125</v>
      </c>
      <c r="C19" s="28">
        <v>2016</v>
      </c>
      <c r="D19" s="22">
        <v>50</v>
      </c>
      <c r="E19" s="21">
        <v>381694</v>
      </c>
      <c r="F19" s="9">
        <f t="shared" si="0"/>
        <v>7633.88</v>
      </c>
      <c r="G19" s="17" t="s">
        <v>4</v>
      </c>
      <c r="H19" s="2"/>
    </row>
    <row r="20" spans="1:8" ht="26.25" x14ac:dyDescent="0.25">
      <c r="A20" s="2"/>
      <c r="B20" s="43" t="s">
        <v>126</v>
      </c>
      <c r="C20" s="28">
        <v>2016</v>
      </c>
      <c r="D20" s="22">
        <v>10</v>
      </c>
      <c r="E20" s="21">
        <v>269247</v>
      </c>
      <c r="F20" s="9">
        <f t="shared" si="0"/>
        <v>26924.7</v>
      </c>
      <c r="G20" s="17" t="s">
        <v>4</v>
      </c>
      <c r="H20" s="2"/>
    </row>
    <row r="21" spans="1:8" x14ac:dyDescent="0.25">
      <c r="A21" s="2"/>
      <c r="B21" s="91" t="s">
        <v>51</v>
      </c>
      <c r="C21" s="92"/>
      <c r="D21" s="92"/>
      <c r="E21" s="93"/>
      <c r="F21" s="15">
        <f>SUM(F10:F20)</f>
        <v>84930.82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99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52</v>
      </c>
      <c r="C9" s="80"/>
      <c r="D9" s="80"/>
      <c r="E9" s="80"/>
      <c r="F9" s="81"/>
      <c r="G9" s="21">
        <v>1334913</v>
      </c>
      <c r="H9" s="17" t="s">
        <v>4</v>
      </c>
      <c r="I9" s="2"/>
    </row>
    <row r="10" spans="1:9" x14ac:dyDescent="0.25">
      <c r="A10" s="2"/>
      <c r="B10" s="79" t="s">
        <v>53</v>
      </c>
      <c r="C10" s="80"/>
      <c r="D10" s="80"/>
      <c r="E10" s="80"/>
      <c r="F10" s="81"/>
      <c r="G10" s="21">
        <v>1375500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-40587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54</v>
      </c>
      <c r="C15" s="80"/>
      <c r="D15" s="80"/>
      <c r="E15" s="80"/>
      <c r="F15" s="81"/>
      <c r="G15" s="21">
        <v>8413</v>
      </c>
      <c r="H15" s="17" t="s">
        <v>4</v>
      </c>
      <c r="I15" s="2"/>
    </row>
    <row r="16" spans="1:9" x14ac:dyDescent="0.25">
      <c r="A16" s="2"/>
      <c r="B16" s="79" t="s">
        <v>55</v>
      </c>
      <c r="C16" s="80"/>
      <c r="D16" s="80"/>
      <c r="E16" s="80"/>
      <c r="F16" s="81"/>
      <c r="G16" s="21">
        <v>100000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-91587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56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57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58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59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60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61</v>
      </c>
      <c r="C33" s="80"/>
      <c r="D33" s="80"/>
      <c r="E33" s="80"/>
      <c r="F33" s="81"/>
      <c r="G33" s="9">
        <f>'Fane 6. Gen. inv. i 2016'!F21</f>
        <v>84930.82</v>
      </c>
      <c r="H33" s="17" t="s">
        <v>4</v>
      </c>
      <c r="I33" s="2"/>
    </row>
    <row r="34" spans="1:9" x14ac:dyDescent="0.25">
      <c r="A34" s="2"/>
      <c r="B34" s="79" t="s">
        <v>62</v>
      </c>
      <c r="C34" s="80"/>
      <c r="D34" s="80"/>
      <c r="E34" s="80"/>
      <c r="F34" s="81"/>
      <c r="G34" s="21">
        <v>42666.666666666664</v>
      </c>
      <c r="H34" s="17" t="s">
        <v>4</v>
      </c>
      <c r="I34" s="2"/>
    </row>
    <row r="35" spans="1:9" x14ac:dyDescent="0.25">
      <c r="A35" s="2"/>
      <c r="B35" s="91" t="s">
        <v>60</v>
      </c>
      <c r="C35" s="92"/>
      <c r="D35" s="92"/>
      <c r="E35" s="92"/>
      <c r="F35" s="93"/>
      <c r="G35" s="15">
        <f>G33-G34</f>
        <v>42264.153333333343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64</v>
      </c>
      <c r="C9" s="105"/>
      <c r="D9" s="105"/>
      <c r="E9" s="105"/>
      <c r="F9" s="106"/>
      <c r="G9" s="20">
        <v>3556808.0688390108</v>
      </c>
      <c r="H9" s="25" t="s">
        <v>4</v>
      </c>
      <c r="I9" s="2"/>
    </row>
    <row r="10" spans="1:9" x14ac:dyDescent="0.25">
      <c r="A10" s="2"/>
      <c r="B10" s="91" t="s">
        <v>65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916599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66</v>
      </c>
      <c r="C12" s="80"/>
      <c r="D12" s="81"/>
      <c r="E12" s="21">
        <v>322583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67</v>
      </c>
      <c r="C13" s="80"/>
      <c r="D13" s="81"/>
      <c r="E13" s="21">
        <v>-31840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68</v>
      </c>
      <c r="C14" s="80"/>
      <c r="D14" s="81"/>
      <c r="E14" s="21">
        <v>134333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1341675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657323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657323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-106150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-897784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-348968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-1352902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646096</v>
      </c>
      <c r="F28" s="25" t="s">
        <v>4</v>
      </c>
      <c r="G28" s="1">
        <f>IF(E28&lt;0,0,-E28)</f>
        <v>-646096</v>
      </c>
      <c r="H28" s="25" t="s">
        <v>4</v>
      </c>
      <c r="I28" s="2"/>
    </row>
    <row r="29" spans="1:9" x14ac:dyDescent="0.25">
      <c r="A29" s="2"/>
      <c r="B29" s="91" t="s">
        <v>69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69</v>
      </c>
      <c r="C30" s="105"/>
      <c r="D30" s="106"/>
      <c r="E30" s="20">
        <v>173357</v>
      </c>
      <c r="F30" s="25" t="s">
        <v>4</v>
      </c>
      <c r="G30" s="12">
        <f>-$E$30</f>
        <v>-173357</v>
      </c>
      <c r="H30" s="25" t="s">
        <v>4</v>
      </c>
      <c r="I30" s="2"/>
    </row>
    <row r="31" spans="1:9" x14ac:dyDescent="0.25">
      <c r="A31" s="2"/>
      <c r="B31" s="107" t="s">
        <v>43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44</v>
      </c>
      <c r="C32" s="102"/>
      <c r="D32" s="103"/>
      <c r="E32" s="21">
        <v>2534851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66976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2601827</v>
      </c>
      <c r="F35" s="25" t="s">
        <v>4</v>
      </c>
      <c r="G35" s="12">
        <f>-E35</f>
        <v>-2601827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135528.06883901078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101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77</v>
      </c>
      <c r="C9" s="87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108" t="s">
        <v>139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149</v>
      </c>
      <c r="C16" s="86"/>
      <c r="D16" s="86"/>
      <c r="E16" s="87"/>
      <c r="F16" s="100" t="s">
        <v>135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2018-03-23T16:33:48Z</dcterms:modified>
</cp:coreProperties>
</file>