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720" yWindow="-75" windowWidth="20415" windowHeight="11700" tabRatio="871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4" i="8" l="1"/>
  <c r="E21" i="4" l="1"/>
  <c r="G24" i="9"/>
  <c r="G22" i="9"/>
  <c r="G21" i="9"/>
  <c r="G19" i="9"/>
  <c r="G23" i="9"/>
  <c r="G20" i="9"/>
  <c r="G25" i="9" l="1"/>
  <c r="G15" i="7" l="1"/>
  <c r="E16" i="4" l="1"/>
  <c r="E17" i="4"/>
  <c r="E15" i="4"/>
  <c r="E14" i="4"/>
  <c r="G21" i="7"/>
  <c r="G23" i="7"/>
  <c r="G22" i="7"/>
  <c r="G17" i="7"/>
  <c r="G16" i="7"/>
  <c r="G28" i="7" l="1"/>
  <c r="G29" i="7"/>
  <c r="G27" i="7"/>
  <c r="G24" i="7"/>
  <c r="G18" i="7"/>
  <c r="G12" i="7"/>
  <c r="G13" i="9" l="1"/>
  <c r="E24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1" i="11"/>
  <c r="F10" i="11"/>
  <c r="F22" i="11" s="1"/>
  <c r="G29" i="12" s="1"/>
  <c r="G13" i="10"/>
  <c r="E15" i="2" s="1"/>
  <c r="G15" i="2" s="1"/>
  <c r="G12" i="9"/>
  <c r="G14" i="9" s="1"/>
  <c r="G9" i="9"/>
  <c r="G11" i="9" s="1"/>
  <c r="G30" i="7"/>
  <c r="G24" i="4"/>
  <c r="E23" i="2"/>
  <c r="G23" i="2" s="1"/>
  <c r="E17" i="2"/>
  <c r="E11" i="4" l="1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G16" i="8" l="1"/>
  <c r="E20" i="4"/>
  <c r="E19" i="4"/>
  <c r="E22" i="4" l="1"/>
  <c r="G22" i="4" s="1"/>
  <c r="G25" i="4" s="1"/>
</calcChain>
</file>

<file path=xl/sharedStrings.xml><?xml version="1.0" encoding="utf-8"?>
<sst xmlns="http://schemas.openxmlformats.org/spreadsheetml/2006/main" count="312" uniqueCount="143">
  <si>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</si>
  <si>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</si>
  <si>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</si>
  <si>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</si>
  <si>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</si>
  <si>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</si>
  <si>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</si>
  <si>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</si>
  <si>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</si>
  <si>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</si>
  <si>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</si>
  <si>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</si>
  <si>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</si>
  <si>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</si>
  <si>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</si>
  <si>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</si>
  <si>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</si>
  <si>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</si>
  <si>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</si>
  <si>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</si>
  <si>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</si>
  <si>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</si>
  <si>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</si>
  <si>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</si>
  <si>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</si>
  <si>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</si>
  <si>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</si>
  <si>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</si>
  <si>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</si>
  <si>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</si>
  <si>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</si>
  <si>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</si>
  <si>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</si>
  <si>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</si>
  <si>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</si>
  <si>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</si>
  <si>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</si>
  <si>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</si>
  <si>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</si>
  <si>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</si>
  <si>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</si>
  <si>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</si>
  <si>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</si>
  <si>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</si>
  <si>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</si>
  <si>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</si>
  <si>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</si>
  <si>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</si>
  <si>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</si>
  <si>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</si>
  <si>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</si>
  <si>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</si>
  <si>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</si>
  <si>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</si>
  <si>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</si>
  <si>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</si>
  <si>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</si>
  <si>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</si>
  <si>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</si>
  <si>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</si>
  <si>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</si>
  <si>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</si>
  <si>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</si>
  <si>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</si>
  <si>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</si>
  <si>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</si>
  <si>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</si>
  <si>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</si>
  <si>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</si>
  <si>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</si>
  <si>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</si>
  <si>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</si>
  <si>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</si>
  <si>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</si>
  <si>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</si>
  <si>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</si>
  <si>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</si>
  <si>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</si>
  <si>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</si>
  <si>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</si>
  <si>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</si>
  <si>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</si>
  <si>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</si>
  <si>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</si>
  <si>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</si>
  <si>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</si>
  <si>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</si>
  <si>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</si>
  <si>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</si>
  <si>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</si>
  <si>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</si>
  <si>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</si>
  <si>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</si>
  <si>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</si>
  <si>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</si>
  <si>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</si>
  <si>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</si>
  <si>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</si>
  <si>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</si>
  <si>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</si>
  <si>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</si>
  <si>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</si>
  <si>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Drifts- og anlægsomkostninger inkl. finansielle omkostninger</t>
  </si>
  <si>
    <t>Samlet generelt effektiviseringskrav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</si>
  <si>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</si>
  <si>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</si>
  <si>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</si>
  <si>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</si>
  <si>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</si>
  <si>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</si>
  <si>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</si>
  <si>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</si>
  <si>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Ø110 mm &lt; Ledningsnet ≤ Ø 250 mm</t>
  </si>
  <si>
    <t>Ø 250 mm &lt; Ledningsnet ≤ Ø 500mm</t>
  </si>
  <si>
    <t>Ledningsnet ≤ Ø50 mm</t>
  </si>
  <si>
    <t>Skyllevandsbehandling, inkl. UV-filter mv., Mek./EL</t>
  </si>
  <si>
    <t>Råvandsstation komplet montering og boringshus/tørbrønd</t>
  </si>
  <si>
    <t>SRO-anlæg, vandværk</t>
  </si>
  <si>
    <t>Elanlæg - vandværk</t>
  </si>
  <si>
    <t xml:space="preserve">Afregningsmålere, mekaniske </t>
  </si>
  <si>
    <t>Køretøjer, små lastvogne (&lt; 3.500 kg.)</t>
  </si>
  <si>
    <t>Køretøjer, personbil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</si>
  <si>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</si>
  <si>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</si>
  <si>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</si>
  <si>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</si>
  <si>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</si>
  <si>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 xml:space="preserve">Verdo Vand </t>
  </si>
  <si>
    <t xml:space="preserve">Helsted Vandværk </t>
  </si>
  <si>
    <t xml:space="preserve">Gimming Vandværk </t>
  </si>
  <si>
    <t xml:space="preserve">Grundlag efter fusion </t>
  </si>
  <si>
    <t>Forhøjelse af omkostninger som følge af fusion med Fyrrebakkens Vandværk</t>
  </si>
  <si>
    <t>Beregningen af de enkelte komponenter i grundlaget for Verdo Vand fremgår af bilag B.</t>
  </si>
  <si>
    <t xml:space="preserve">Omkostninger for Fyrrebakkens Vandværk </t>
  </si>
  <si>
    <t xml:space="preserve">Prisudvikling og krav </t>
  </si>
  <si>
    <t xml:space="preserve">Beregningen af de enkelte komponenter i grundlaget for Fyrrebakkens Vandværk fremgår af bilag 3. </t>
  </si>
  <si>
    <t xml:space="preserve">Beregningen af de enkelte komponenter i grundlaget for Helsted Vandværk fremgår af bilag 1. </t>
  </si>
  <si>
    <t xml:space="preserve">Beregningen af de enkelte komponenter i grundlaget for Gimming Vandværk fremgår af bilag 2. </t>
  </si>
  <si>
    <t>Individuelt effektiviseringskrav i ØR17</t>
  </si>
  <si>
    <t>Individuelt effektiviseringskrav i ØR18</t>
  </si>
  <si>
    <t>år</t>
  </si>
  <si>
    <t>Generelt effektiviseringskrav på drift og anlæg efter fusion med Helsted Vandværk og Gimming Vandværk</t>
  </si>
  <si>
    <t>Generelt effektiviseringskrav på drift og anlæg af kun Fyrrebakkens Vandværk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</si>
</sst>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 wrapText="1"/>
    </xf>
    <xf numFmtId="0" fontId="8" fillId="10" borderId="11" xfId="0" quotePrefix="1" applyFont="1" applyFill="1" applyBorder="1" applyAlignment="1">
      <alignment horizontal="left" wrapText="1"/>
    </xf>
    <xf numFmtId="0" fontId="8" fillId="10" borderId="3" xfId="0" quotePrefix="1" applyFont="1" applyFill="1" applyBorder="1" applyAlignment="1">
      <alignment horizontal="left" wrapText="1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>
      <selection activeCell="G9" sqref="G9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6" t="s">
        <v>11</v>
      </c>
      <c r="E6" s="46"/>
      <c r="F6" s="46"/>
      <c r="G6" s="46"/>
      <c r="H6" s="4"/>
      <c r="I6" s="1"/>
    </row>
    <row r="7" spans="1:9" ht="15" customHeight="1" x14ac:dyDescent="0.25">
      <c r="A7" s="1"/>
      <c r="B7" s="1"/>
      <c r="C7" s="4"/>
      <c r="D7" s="46"/>
      <c r="E7" s="46"/>
      <c r="F7" s="46"/>
      <c r="G7" s="46"/>
      <c r="H7" s="4"/>
      <c r="I7" s="1"/>
    </row>
    <row r="8" spans="1:9" ht="15.75" x14ac:dyDescent="0.25">
      <c r="A8" s="1"/>
      <c r="B8" s="1"/>
      <c r="C8" s="5"/>
      <c r="D8" s="54" t="s">
        <v>110</v>
      </c>
      <c r="E8" s="54"/>
      <c r="F8" s="54"/>
      <c r="G8" s="54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3" t="s">
        <v>12</v>
      </c>
      <c r="E11" s="53"/>
      <c r="F11" s="53"/>
      <c r="G11" s="53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23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67" t="s">
        <v>22</v>
      </c>
      <c r="E14" s="68"/>
      <c r="F14" s="68"/>
      <c r="G14" s="69"/>
      <c r="H14" s="1"/>
      <c r="I14" s="1"/>
    </row>
    <row r="15" spans="1:9" x14ac:dyDescent="0.25">
      <c r="A15" s="1"/>
      <c r="B15" s="1"/>
      <c r="C15" s="3" t="s">
        <v>15</v>
      </c>
      <c r="D15" s="55" t="s">
        <v>24</v>
      </c>
      <c r="E15" s="56"/>
      <c r="F15" s="56"/>
      <c r="G15" s="57"/>
      <c r="H15" s="1"/>
      <c r="I15" s="1"/>
    </row>
    <row r="16" spans="1:9" x14ac:dyDescent="0.25">
      <c r="A16" s="1"/>
      <c r="B16" s="1"/>
      <c r="C16" s="3" t="s">
        <v>16</v>
      </c>
      <c r="D16" s="58" t="s">
        <v>25</v>
      </c>
      <c r="E16" s="59"/>
      <c r="F16" s="59"/>
      <c r="G16" s="60"/>
      <c r="H16" s="1"/>
      <c r="I16" s="1"/>
    </row>
    <row r="17" spans="1:9" x14ac:dyDescent="0.25">
      <c r="A17" s="1"/>
      <c r="B17" s="1"/>
      <c r="C17" s="3" t="s">
        <v>17</v>
      </c>
      <c r="D17" s="58" t="s">
        <v>26</v>
      </c>
      <c r="E17" s="59"/>
      <c r="F17" s="59"/>
      <c r="G17" s="60"/>
      <c r="H17" s="1"/>
      <c r="I17" s="1"/>
    </row>
    <row r="18" spans="1:9" x14ac:dyDescent="0.25">
      <c r="A18" s="1"/>
      <c r="B18" s="1"/>
      <c r="C18" s="3" t="s">
        <v>18</v>
      </c>
      <c r="D18" s="61" t="s">
        <v>32</v>
      </c>
      <c r="E18" s="62"/>
      <c r="F18" s="62"/>
      <c r="G18" s="63"/>
      <c r="H18" s="1"/>
      <c r="I18" s="1"/>
    </row>
    <row r="19" spans="1:9" x14ac:dyDescent="0.25">
      <c r="A19" s="1"/>
      <c r="B19" s="1"/>
      <c r="C19" s="3" t="s">
        <v>19</v>
      </c>
      <c r="D19" s="47" t="s">
        <v>5</v>
      </c>
      <c r="E19" s="48"/>
      <c r="F19" s="48"/>
      <c r="G19" s="49"/>
      <c r="H19" s="1"/>
      <c r="I19" s="1"/>
    </row>
    <row r="20" spans="1:9" x14ac:dyDescent="0.25">
      <c r="A20" s="1"/>
      <c r="B20" s="1"/>
      <c r="C20" s="3" t="s">
        <v>20</v>
      </c>
      <c r="D20" s="47" t="s">
        <v>28</v>
      </c>
      <c r="E20" s="48"/>
      <c r="F20" s="48"/>
      <c r="G20" s="49"/>
      <c r="H20" s="1"/>
      <c r="I20" s="1"/>
    </row>
    <row r="21" spans="1:9" x14ac:dyDescent="0.25">
      <c r="A21" s="1"/>
      <c r="B21" s="1"/>
      <c r="C21" s="3" t="s">
        <v>21</v>
      </c>
      <c r="D21" s="50" t="s">
        <v>29</v>
      </c>
      <c r="E21" s="51"/>
      <c r="F21" s="51"/>
      <c r="G21" s="52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2" t="s">
        <v>6</v>
      </c>
      <c r="C3" s="102"/>
      <c r="D3" s="102"/>
      <c r="E3" s="102"/>
      <c r="F3" s="102"/>
      <c r="G3" s="102"/>
      <c r="H3" s="102"/>
      <c r="I3" s="1"/>
    </row>
    <row r="4" spans="1:9" ht="15" customHeight="1" x14ac:dyDescent="0.25">
      <c r="A4" s="1"/>
      <c r="B4" s="102"/>
      <c r="C4" s="102"/>
      <c r="D4" s="102"/>
      <c r="E4" s="102"/>
      <c r="F4" s="102"/>
      <c r="G4" s="102"/>
      <c r="H4" s="10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4" t="s">
        <v>47</v>
      </c>
      <c r="C9" s="85"/>
      <c r="D9" s="85"/>
      <c r="E9" s="85"/>
      <c r="F9" s="86"/>
      <c r="G9" s="35">
        <v>36270168</v>
      </c>
      <c r="H9" s="16" t="s">
        <v>4</v>
      </c>
      <c r="I9" s="1"/>
    </row>
    <row r="10" spans="1:9" x14ac:dyDescent="0.25">
      <c r="A10" s="1"/>
      <c r="B10" s="73" t="s">
        <v>48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49</v>
      </c>
      <c r="C11" s="78"/>
      <c r="D11" s="79"/>
      <c r="E11" s="37">
        <v>7973148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50</v>
      </c>
      <c r="C12" s="78"/>
      <c r="D12" s="79"/>
      <c r="E12" s="37">
        <v>1028089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51</v>
      </c>
      <c r="C13" s="78"/>
      <c r="D13" s="79"/>
      <c r="E13" s="37">
        <v>-123897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52</v>
      </c>
      <c r="C14" s="78"/>
      <c r="D14" s="79"/>
      <c r="E14" s="37">
        <v>642125</v>
      </c>
      <c r="F14" s="10" t="s">
        <v>4</v>
      </c>
      <c r="G14" s="13"/>
      <c r="H14" s="26"/>
      <c r="I14" s="1"/>
    </row>
    <row r="15" spans="1:9" x14ac:dyDescent="0.25">
      <c r="A15" s="1"/>
      <c r="B15" s="84" t="s">
        <v>53</v>
      </c>
      <c r="C15" s="85"/>
      <c r="D15" s="86"/>
      <c r="E15" s="32">
        <f>SUM(E11:E14)</f>
        <v>9519465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54</v>
      </c>
      <c r="C16" s="78"/>
      <c r="D16" s="79"/>
      <c r="E16" s="37">
        <v>566850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55</v>
      </c>
      <c r="C17" s="78"/>
      <c r="D17" s="79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56</v>
      </c>
      <c r="C18" s="78"/>
      <c r="D18" s="79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4" t="s">
        <v>57</v>
      </c>
      <c r="C19" s="85"/>
      <c r="D19" s="86"/>
      <c r="E19" s="32">
        <f>SUM(E16:E18)</f>
        <v>566850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-9966196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60</v>
      </c>
      <c r="C22" s="78"/>
      <c r="D22" s="79"/>
      <c r="E22" s="37">
        <v>-300095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61</v>
      </c>
      <c r="C23" s="78"/>
      <c r="D23" s="79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4" t="s">
        <v>65</v>
      </c>
      <c r="C27" s="85"/>
      <c r="D27" s="86"/>
      <c r="E27" s="32">
        <f>SUM(E20:E26)</f>
        <v>-10266291</v>
      </c>
      <c r="F27" s="16" t="s">
        <v>4</v>
      </c>
      <c r="G27" s="14"/>
      <c r="H27" s="27"/>
      <c r="I27" s="1"/>
    </row>
    <row r="28" spans="1:9" x14ac:dyDescent="0.25">
      <c r="A28" s="1"/>
      <c r="B28" s="84" t="s">
        <v>66</v>
      </c>
      <c r="C28" s="85"/>
      <c r="D28" s="86"/>
      <c r="E28" s="32">
        <f>E15+E19+E27</f>
        <v>-179976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67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4" t="s">
        <v>67</v>
      </c>
      <c r="C30" s="85"/>
      <c r="D30" s="86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103" t="s">
        <v>124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125</v>
      </c>
      <c r="C32" s="71"/>
      <c r="D32" s="72"/>
      <c r="E32" s="37">
        <v>35143062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68</v>
      </c>
      <c r="C33" s="78"/>
      <c r="D33" s="79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35014</v>
      </c>
      <c r="F34" s="10" t="s">
        <v>4</v>
      </c>
      <c r="G34" s="14"/>
      <c r="H34" s="27"/>
      <c r="I34" s="1"/>
    </row>
    <row r="35" spans="1:9" x14ac:dyDescent="0.25">
      <c r="A35" s="1"/>
      <c r="B35" s="84" t="s">
        <v>70</v>
      </c>
      <c r="C35" s="85"/>
      <c r="D35" s="86"/>
      <c r="E35" s="32">
        <f>SUM(E32:E34)</f>
        <v>35178076</v>
      </c>
      <c r="F35" s="16" t="s">
        <v>4</v>
      </c>
      <c r="G35" s="32">
        <f>-E35</f>
        <v>-35178076</v>
      </c>
      <c r="H35" s="16" t="s">
        <v>4</v>
      </c>
      <c r="I35" s="1"/>
    </row>
    <row r="36" spans="1:9" x14ac:dyDescent="0.25">
      <c r="A36" s="1"/>
      <c r="B36" s="73" t="s">
        <v>46</v>
      </c>
      <c r="C36" s="74"/>
      <c r="D36" s="74"/>
      <c r="E36" s="74"/>
      <c r="F36" s="75"/>
      <c r="G36" s="33">
        <f>$G$9+$G$28+$G$30+$G$35</f>
        <v>1092092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>
      <selection activeCell="D27" sqref="D27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Grundlag'!G30</f>
        <v>42458929.111795992</v>
      </c>
      <c r="F9" s="7" t="s">
        <v>4</v>
      </c>
      <c r="G9" s="8"/>
      <c r="H9" s="9"/>
      <c r="I9" s="1"/>
    </row>
    <row r="10" spans="1:9" x14ac:dyDescent="0.25">
      <c r="A10" s="1"/>
      <c r="B10" s="83" t="s">
        <v>97</v>
      </c>
      <c r="C10" s="78"/>
      <c r="D10" s="79"/>
      <c r="E10" s="20">
        <f>'Fane 3. Grundlag'!G29</f>
        <v>17497230.380500779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25</v>
      </c>
      <c r="C11" s="78"/>
      <c r="D11" s="79"/>
      <c r="E11" s="20">
        <f>'Fane 4. Individuelt eff.krav'!G11</f>
        <v>117092.29568904075</v>
      </c>
      <c r="F11" s="7" t="s">
        <v>4</v>
      </c>
      <c r="G11" s="13"/>
      <c r="H11" s="12"/>
      <c r="I11" s="1"/>
    </row>
    <row r="12" spans="1:9" x14ac:dyDescent="0.25">
      <c r="A12" s="1"/>
      <c r="B12" s="77" t="s">
        <v>26</v>
      </c>
      <c r="C12" s="78"/>
      <c r="D12" s="79"/>
      <c r="E12" s="20">
        <f>'Fane 5. Generelt eff.krav'!G15</f>
        <v>351141.45475215872</v>
      </c>
      <c r="F12" s="7" t="s">
        <v>4</v>
      </c>
      <c r="G12" s="14"/>
      <c r="H12" s="15"/>
      <c r="I12" s="1"/>
    </row>
    <row r="13" spans="1:9" x14ac:dyDescent="0.25">
      <c r="A13" s="1"/>
      <c r="B13" s="84" t="s">
        <v>43</v>
      </c>
      <c r="C13" s="85"/>
      <c r="D13" s="86"/>
      <c r="E13" s="32">
        <f>$E$9-$E$11-$E$12</f>
        <v>41990695.361354791</v>
      </c>
      <c r="F13" s="17" t="s">
        <v>4</v>
      </c>
      <c r="G13" s="32">
        <f>E13</f>
        <v>41990695.361354791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x14ac:dyDescent="0.25">
      <c r="A15" s="1"/>
      <c r="B15" s="80" t="s">
        <v>106</v>
      </c>
      <c r="C15" s="81"/>
      <c r="D15" s="82"/>
      <c r="E15" s="32">
        <f>'Fane 6. Hist. over el. underdæk'!G13</f>
        <v>-3009491.5</v>
      </c>
      <c r="F15" s="17" t="s">
        <v>4</v>
      </c>
      <c r="G15" s="32">
        <f>E15</f>
        <v>-3009491.5</v>
      </c>
      <c r="H15" s="17" t="s">
        <v>4</v>
      </c>
      <c r="I15" s="1"/>
    </row>
    <row r="16" spans="1:9" x14ac:dyDescent="0.25">
      <c r="A16" s="1"/>
      <c r="B16" s="73" t="s">
        <v>28</v>
      </c>
      <c r="C16" s="74"/>
      <c r="D16" s="74"/>
      <c r="E16" s="74"/>
      <c r="F16" s="74"/>
      <c r="G16" s="74"/>
      <c r="H16" s="7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2366332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-245483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-18262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194169.01666666672</v>
      </c>
      <c r="F20" s="7" t="s">
        <v>4</v>
      </c>
      <c r="G20" s="14"/>
      <c r="H20" s="15"/>
      <c r="I20" s="1"/>
    </row>
    <row r="21" spans="1:9" x14ac:dyDescent="0.25">
      <c r="A21" s="1"/>
      <c r="B21" s="80" t="s">
        <v>38</v>
      </c>
      <c r="C21" s="81"/>
      <c r="D21" s="82"/>
      <c r="E21" s="32">
        <f>SUM(E17:E20)</f>
        <v>2296756.0166666666</v>
      </c>
      <c r="F21" s="17" t="s">
        <v>4</v>
      </c>
      <c r="G21" s="32">
        <f>E21</f>
        <v>2296756.0166666666</v>
      </c>
      <c r="H21" s="17" t="s">
        <v>4</v>
      </c>
      <c r="I21" s="1"/>
    </row>
    <row r="22" spans="1:9" x14ac:dyDescent="0.25">
      <c r="A22" s="1"/>
      <c r="B22" s="73" t="s">
        <v>33</v>
      </c>
      <c r="C22" s="74"/>
      <c r="D22" s="74"/>
      <c r="E22" s="74"/>
      <c r="F22" s="74"/>
      <c r="G22" s="74"/>
      <c r="H22" s="75"/>
      <c r="I22" s="1"/>
    </row>
    <row r="23" spans="1:9" x14ac:dyDescent="0.25">
      <c r="A23" s="1"/>
      <c r="B23" s="80" t="s">
        <v>34</v>
      </c>
      <c r="C23" s="81"/>
      <c r="D23" s="82"/>
      <c r="E23" s="32">
        <f>'Fane 9. Kontrol af PL2015'!G36</f>
        <v>1092092</v>
      </c>
      <c r="F23" s="17" t="s">
        <v>4</v>
      </c>
      <c r="G23" s="32">
        <f>E23</f>
        <v>1092092</v>
      </c>
      <c r="H23" s="17" t="s">
        <v>4</v>
      </c>
      <c r="I23" s="1"/>
    </row>
    <row r="24" spans="1:9" x14ac:dyDescent="0.25">
      <c r="A24" s="1"/>
      <c r="B24" s="73" t="s">
        <v>39</v>
      </c>
      <c r="C24" s="74"/>
      <c r="D24" s="74"/>
      <c r="E24" s="74"/>
      <c r="F24" s="75"/>
      <c r="G24" s="33">
        <f>G13+G15+G21+G23</f>
        <v>42370051.878021456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8"/>
  <sheetViews>
    <sheetView view="pageLayout" topLeftCell="A4" zoomScaleNormal="100" workbookViewId="0">
      <selection activeCell="H26" sqref="H26"/>
    </sheetView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41990695.361354791</v>
      </c>
      <c r="F9" s="7" t="s">
        <v>4</v>
      </c>
      <c r="G9" s="8"/>
      <c r="H9" s="9"/>
      <c r="I9" s="1"/>
    </row>
    <row r="10" spans="1:9" x14ac:dyDescent="0.25">
      <c r="A10" s="1"/>
      <c r="B10" s="83" t="s">
        <v>108</v>
      </c>
      <c r="C10" s="87"/>
      <c r="D10" s="88"/>
      <c r="E10" s="37">
        <f>'Fane 3. Grundlag'!$G$27*(1-'Fane 4. Individuelt eff.krav'!$G$10/100)-'Fane 5. Generelt eff.krav'!G$11</f>
        <v>11094364.620608879</v>
      </c>
      <c r="F10" s="7" t="s">
        <v>4</v>
      </c>
      <c r="G10" s="11"/>
      <c r="H10" s="12"/>
      <c r="I10" s="1"/>
    </row>
    <row r="11" spans="1:9" x14ac:dyDescent="0.25">
      <c r="A11" s="1"/>
      <c r="B11" s="83" t="s">
        <v>109</v>
      </c>
      <c r="C11" s="87"/>
      <c r="D11" s="88"/>
      <c r="E11" s="37">
        <f>'Fane 3. Grundlag'!$G$28*(1-'Fane 4. Individuelt eff.krav'!$G$10/100)-'Fane 5. Generelt eff.krav'!G$14</f>
        <v>13399100.360245133</v>
      </c>
      <c r="F11" s="7" t="s">
        <v>4</v>
      </c>
      <c r="G11" s="11"/>
      <c r="H11" s="12"/>
      <c r="I11" s="1"/>
    </row>
    <row r="12" spans="1:9" x14ac:dyDescent="0.25">
      <c r="A12" s="1"/>
      <c r="B12" s="83" t="s">
        <v>97</v>
      </c>
      <c r="C12" s="87"/>
      <c r="D12" s="88"/>
      <c r="E12" s="37">
        <f>'Fane 2.1. Økonomisk ramme 2017'!$E$10</f>
        <v>17497230.380500779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131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89" t="s">
        <v>133</v>
      </c>
      <c r="C14" s="90"/>
      <c r="D14" s="91"/>
      <c r="E14" s="37">
        <f>522565*1.0127</f>
        <v>529201.57549999992</v>
      </c>
      <c r="F14" s="7" t="s">
        <v>4</v>
      </c>
      <c r="G14" s="11"/>
      <c r="H14" s="12"/>
      <c r="I14" s="1"/>
    </row>
    <row r="15" spans="1:9" x14ac:dyDescent="0.25">
      <c r="A15" s="1"/>
      <c r="B15" s="83" t="s">
        <v>108</v>
      </c>
      <c r="C15" s="87"/>
      <c r="D15" s="88"/>
      <c r="E15" s="37">
        <f>226789*1.0127</f>
        <v>229669.22029999999</v>
      </c>
      <c r="F15" s="7" t="s">
        <v>4</v>
      </c>
      <c r="G15" s="11"/>
      <c r="H15" s="12"/>
      <c r="I15" s="1"/>
    </row>
    <row r="16" spans="1:9" x14ac:dyDescent="0.25">
      <c r="A16" s="1"/>
      <c r="B16" s="83" t="s">
        <v>109</v>
      </c>
      <c r="C16" s="87"/>
      <c r="D16" s="88"/>
      <c r="E16" s="37">
        <f>167268*1.0127</f>
        <v>169392.30359999998</v>
      </c>
      <c r="F16" s="7" t="s">
        <v>4</v>
      </c>
      <c r="G16" s="11"/>
      <c r="H16" s="12"/>
      <c r="I16" s="1"/>
    </row>
    <row r="17" spans="1:9" x14ac:dyDescent="0.25">
      <c r="A17" s="1"/>
      <c r="B17" s="83" t="s">
        <v>97</v>
      </c>
      <c r="C17" s="87"/>
      <c r="D17" s="88"/>
      <c r="E17" s="37">
        <f>128507*1.0127</f>
        <v>130139.03889999999</v>
      </c>
      <c r="F17" s="7" t="s">
        <v>4</v>
      </c>
      <c r="G17" s="11"/>
      <c r="H17" s="12"/>
      <c r="I17" s="1"/>
    </row>
    <row r="18" spans="1:9" x14ac:dyDescent="0.25">
      <c r="A18" s="1"/>
      <c r="B18" s="73" t="s">
        <v>134</v>
      </c>
      <c r="C18" s="74"/>
      <c r="D18" s="74"/>
      <c r="E18" s="74"/>
      <c r="F18" s="74"/>
      <c r="G18" s="74"/>
      <c r="H18" s="75"/>
      <c r="I18" s="1"/>
    </row>
    <row r="19" spans="1:9" x14ac:dyDescent="0.25">
      <c r="A19" s="1"/>
      <c r="B19" s="77" t="s">
        <v>41</v>
      </c>
      <c r="C19" s="78"/>
      <c r="D19" s="79"/>
      <c r="E19" s="37">
        <f>($E$9*0.0127)+(E14*0.0127)</f>
        <v>540002.6910980558</v>
      </c>
      <c r="F19" s="7" t="s">
        <v>4</v>
      </c>
      <c r="G19" s="13"/>
      <c r="H19" s="12"/>
      <c r="I19" s="1"/>
    </row>
    <row r="20" spans="1:9" x14ac:dyDescent="0.25">
      <c r="A20" s="1"/>
      <c r="B20" s="77" t="s">
        <v>25</v>
      </c>
      <c r="C20" s="78"/>
      <c r="D20" s="79"/>
      <c r="E20" s="37">
        <f>($E$9+$E$14-$E$12-$E$17)*1.0127*'Fane 4. Individuelt eff.krav'!$G$15/100</f>
        <v>126353.77971692292</v>
      </c>
      <c r="F20" s="7" t="s">
        <v>4</v>
      </c>
      <c r="G20" s="13"/>
      <c r="H20" s="12"/>
      <c r="I20" s="1"/>
    </row>
    <row r="21" spans="1:9" x14ac:dyDescent="0.25">
      <c r="A21" s="1"/>
      <c r="B21" s="28" t="s">
        <v>26</v>
      </c>
      <c r="C21" s="29"/>
      <c r="D21" s="30"/>
      <c r="E21" s="37">
        <f>('Fane 3. Grundlag'!$G$27-'Fane 5. Generelt eff.krav'!G$11)*1.0127*0.02+('Fane 3. Grundlag'!$G$28-'Fane 5. Generelt eff.krav'!G$14)*1.0127*0.0091+'Fane 5. Generelt eff.krav'!G25*1.0127</f>
        <v>356066.45620557707</v>
      </c>
      <c r="F21" s="7" t="s">
        <v>4</v>
      </c>
      <c r="G21" s="14"/>
      <c r="H21" s="15"/>
      <c r="I21" s="1"/>
    </row>
    <row r="22" spans="1:9" x14ac:dyDescent="0.25">
      <c r="A22" s="1"/>
      <c r="B22" s="84" t="s">
        <v>43</v>
      </c>
      <c r="C22" s="85"/>
      <c r="D22" s="86"/>
      <c r="E22" s="32">
        <f>$E$9+$E$14+$E$19-$E$20-$E$21</f>
        <v>42577479.392030343</v>
      </c>
      <c r="F22" s="17" t="s">
        <v>4</v>
      </c>
      <c r="G22" s="32">
        <f>E22</f>
        <v>42577479.392030343</v>
      </c>
      <c r="H22" s="17" t="s">
        <v>4</v>
      </c>
      <c r="I22" s="1"/>
    </row>
    <row r="23" spans="1:9" x14ac:dyDescent="0.25">
      <c r="A23" s="1"/>
      <c r="B23" s="73" t="s">
        <v>32</v>
      </c>
      <c r="C23" s="74"/>
      <c r="D23" s="74"/>
      <c r="E23" s="74"/>
      <c r="F23" s="74"/>
      <c r="G23" s="74"/>
      <c r="H23" s="75"/>
      <c r="I23" s="1"/>
    </row>
    <row r="24" spans="1:9" ht="15" customHeight="1" x14ac:dyDescent="0.25">
      <c r="A24" s="1"/>
      <c r="B24" s="80" t="s">
        <v>106</v>
      </c>
      <c r="C24" s="81"/>
      <c r="D24" s="82"/>
      <c r="E24" s="35">
        <f>IF('Fane 6. Hist. over el. underdæk'!$G$12&gt;1,'Fane 6. Hist. over el. underdæk'!$G$13,0)</f>
        <v>-3009491.5</v>
      </c>
      <c r="F24" s="17" t="s">
        <v>4</v>
      </c>
      <c r="G24" s="32">
        <f>E24</f>
        <v>-3009491.5</v>
      </c>
      <c r="H24" s="17" t="s">
        <v>4</v>
      </c>
      <c r="I24" s="1"/>
    </row>
    <row r="25" spans="1:9" x14ac:dyDescent="0.25">
      <c r="A25" s="1"/>
      <c r="B25" s="73" t="s">
        <v>42</v>
      </c>
      <c r="C25" s="74"/>
      <c r="D25" s="74"/>
      <c r="E25" s="74"/>
      <c r="F25" s="75"/>
      <c r="G25" s="33">
        <f>G22+G24</f>
        <v>39567987.892030343</v>
      </c>
      <c r="H25" s="18" t="s">
        <v>4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22" t="s">
        <v>135</v>
      </c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6"/>
      <c r="C58" s="6"/>
      <c r="D58" s="6"/>
      <c r="E58" s="6"/>
      <c r="F58" s="6"/>
      <c r="G58" s="6"/>
      <c r="H58" s="6"/>
      <c r="I58" s="6"/>
    </row>
  </sheetData>
  <mergeCells count="18">
    <mergeCell ref="B13:H13"/>
    <mergeCell ref="B18:H18"/>
    <mergeCell ref="B3:H4"/>
    <mergeCell ref="B9:D9"/>
    <mergeCell ref="B10:D10"/>
    <mergeCell ref="B8:H8"/>
    <mergeCell ref="B12:D12"/>
    <mergeCell ref="B11:D11"/>
    <mergeCell ref="B15:D15"/>
    <mergeCell ref="B16:D16"/>
    <mergeCell ref="B17:D17"/>
    <mergeCell ref="B14:D14"/>
    <mergeCell ref="B25:F25"/>
    <mergeCell ref="B19:D19"/>
    <mergeCell ref="B20:D20"/>
    <mergeCell ref="B22:D22"/>
    <mergeCell ref="B23:H23"/>
    <mergeCell ref="B24:D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62"/>
  <sheetViews>
    <sheetView view="pageLayout" topLeftCell="A7" zoomScaleNormal="100" workbookViewId="0">
      <selection activeCell="G27" sqref="G27"/>
    </sheetView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ht="15" customHeight="1" x14ac:dyDescent="0.25">
      <c r="A5" s="1"/>
      <c r="B5" s="45"/>
      <c r="C5" s="45"/>
      <c r="D5" s="45"/>
      <c r="E5" s="45"/>
      <c r="F5" s="45"/>
      <c r="G5" s="45"/>
      <c r="H5" s="45"/>
      <c r="I5" s="1"/>
    </row>
    <row r="6" spans="1:9" ht="15" customHeight="1" x14ac:dyDescent="0.25">
      <c r="A6" s="1"/>
      <c r="B6" s="45"/>
      <c r="C6" s="45"/>
      <c r="D6" s="45"/>
      <c r="E6" s="45"/>
      <c r="F6" s="45"/>
      <c r="G6" s="45"/>
      <c r="H6" s="4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127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99</v>
      </c>
      <c r="C9" s="78"/>
      <c r="D9" s="78"/>
      <c r="E9" s="78"/>
      <c r="F9" s="79"/>
      <c r="G9" s="37">
        <v>11175579.114433028</v>
      </c>
      <c r="H9" s="10" t="s">
        <v>4</v>
      </c>
      <c r="I9" s="1"/>
    </row>
    <row r="10" spans="1:9" x14ac:dyDescent="0.25">
      <c r="A10" s="1"/>
      <c r="B10" s="77" t="s">
        <v>100</v>
      </c>
      <c r="C10" s="78"/>
      <c r="D10" s="78"/>
      <c r="E10" s="78"/>
      <c r="F10" s="79"/>
      <c r="G10" s="37">
        <v>13301839.323149381</v>
      </c>
      <c r="H10" s="10" t="s">
        <v>4</v>
      </c>
      <c r="I10" s="1"/>
    </row>
    <row r="11" spans="1:9" x14ac:dyDescent="0.25">
      <c r="A11" s="1"/>
      <c r="B11" s="77" t="s">
        <v>101</v>
      </c>
      <c r="C11" s="78"/>
      <c r="D11" s="78"/>
      <c r="E11" s="78"/>
      <c r="F11" s="79"/>
      <c r="G11" s="37">
        <v>17249899.901273519</v>
      </c>
      <c r="H11" s="10" t="s">
        <v>4</v>
      </c>
      <c r="I11" s="1"/>
    </row>
    <row r="12" spans="1:9" x14ac:dyDescent="0.25">
      <c r="A12" s="1"/>
      <c r="B12" s="73" t="s">
        <v>44</v>
      </c>
      <c r="C12" s="74"/>
      <c r="D12" s="74"/>
      <c r="E12" s="74"/>
      <c r="F12" s="75"/>
      <c r="G12" s="33">
        <f>SUM(G9:G11)</f>
        <v>41727318.33885593</v>
      </c>
      <c r="H12" s="18" t="s">
        <v>4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73" t="s">
        <v>128</v>
      </c>
      <c r="C14" s="74"/>
      <c r="D14" s="74"/>
      <c r="E14" s="74"/>
      <c r="F14" s="74"/>
      <c r="G14" s="74"/>
      <c r="H14" s="75"/>
      <c r="I14" s="1"/>
    </row>
    <row r="15" spans="1:9" x14ac:dyDescent="0.25">
      <c r="A15" s="1"/>
      <c r="B15" s="77" t="s">
        <v>99</v>
      </c>
      <c r="C15" s="78"/>
      <c r="D15" s="78"/>
      <c r="E15" s="78"/>
      <c r="F15" s="79"/>
      <c r="G15" s="37">
        <f>132694*1.0127</f>
        <v>134379.2138</v>
      </c>
      <c r="H15" s="10" t="s">
        <v>4</v>
      </c>
      <c r="I15" s="1"/>
    </row>
    <row r="16" spans="1:9" x14ac:dyDescent="0.25">
      <c r="A16" s="1"/>
      <c r="B16" s="77" t="s">
        <v>100</v>
      </c>
      <c r="C16" s="78"/>
      <c r="D16" s="78"/>
      <c r="E16" s="78"/>
      <c r="F16" s="79"/>
      <c r="G16" s="37">
        <f>201343*1.0127</f>
        <v>203900.05609999999</v>
      </c>
      <c r="H16" s="10" t="s">
        <v>4</v>
      </c>
      <c r="I16" s="1"/>
    </row>
    <row r="17" spans="1:9" x14ac:dyDescent="0.25">
      <c r="A17" s="1"/>
      <c r="B17" s="77" t="s">
        <v>101</v>
      </c>
      <c r="C17" s="78"/>
      <c r="D17" s="78"/>
      <c r="E17" s="78"/>
      <c r="F17" s="79"/>
      <c r="G17" s="37">
        <f>143763*1.0127</f>
        <v>145588.79009999998</v>
      </c>
      <c r="H17" s="10" t="s">
        <v>4</v>
      </c>
      <c r="I17" s="1"/>
    </row>
    <row r="18" spans="1:9" x14ac:dyDescent="0.25">
      <c r="A18" s="1"/>
      <c r="B18" s="73" t="s">
        <v>44</v>
      </c>
      <c r="C18" s="74"/>
      <c r="D18" s="74"/>
      <c r="E18" s="74"/>
      <c r="F18" s="75"/>
      <c r="G18" s="33">
        <f>SUM(G15:G17)</f>
        <v>483868.05999999994</v>
      </c>
      <c r="H18" s="18" t="s">
        <v>4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73" t="s">
        <v>129</v>
      </c>
      <c r="C20" s="74"/>
      <c r="D20" s="74"/>
      <c r="E20" s="74"/>
      <c r="F20" s="74"/>
      <c r="G20" s="74"/>
      <c r="H20" s="75"/>
      <c r="I20" s="1"/>
    </row>
    <row r="21" spans="1:9" x14ac:dyDescent="0.25">
      <c r="A21" s="1"/>
      <c r="B21" s="77" t="s">
        <v>99</v>
      </c>
      <c r="C21" s="78"/>
      <c r="D21" s="78"/>
      <c r="E21" s="78"/>
      <c r="F21" s="79"/>
      <c r="G21" s="37">
        <f>64698*0.9962*1.0127</f>
        <v>65270.689874519994</v>
      </c>
      <c r="H21" s="10" t="s">
        <v>4</v>
      </c>
      <c r="I21" s="1"/>
    </row>
    <row r="22" spans="1:9" x14ac:dyDescent="0.25">
      <c r="A22" s="1"/>
      <c r="B22" s="77" t="s">
        <v>100</v>
      </c>
      <c r="C22" s="78"/>
      <c r="D22" s="78"/>
      <c r="E22" s="78"/>
      <c r="F22" s="79"/>
      <c r="G22" s="37">
        <f>80022*0.9962*1.0127</f>
        <v>80730.33393827999</v>
      </c>
      <c r="H22" s="10" t="s">
        <v>4</v>
      </c>
      <c r="I22" s="1"/>
    </row>
    <row r="23" spans="1:9" x14ac:dyDescent="0.25">
      <c r="A23" s="1"/>
      <c r="B23" s="77" t="s">
        <v>101</v>
      </c>
      <c r="C23" s="78"/>
      <c r="D23" s="78"/>
      <c r="E23" s="78"/>
      <c r="F23" s="79"/>
      <c r="G23" s="37">
        <f>100849*0.9962*1.0127</f>
        <v>101741.68912725999</v>
      </c>
      <c r="H23" s="10" t="s">
        <v>4</v>
      </c>
      <c r="I23" s="1"/>
    </row>
    <row r="24" spans="1:9" x14ac:dyDescent="0.25">
      <c r="A24" s="1"/>
      <c r="B24" s="73" t="s">
        <v>44</v>
      </c>
      <c r="C24" s="74"/>
      <c r="D24" s="74"/>
      <c r="E24" s="74"/>
      <c r="F24" s="75"/>
      <c r="G24" s="33">
        <f>SUM(G21:G23)</f>
        <v>247742.71294005995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73" t="s">
        <v>130</v>
      </c>
      <c r="C26" s="74"/>
      <c r="D26" s="74"/>
      <c r="E26" s="74"/>
      <c r="F26" s="74"/>
      <c r="G26" s="74"/>
      <c r="H26" s="75"/>
      <c r="I26" s="1"/>
    </row>
    <row r="27" spans="1:9" x14ac:dyDescent="0.25">
      <c r="A27" s="1"/>
      <c r="B27" s="77" t="s">
        <v>99</v>
      </c>
      <c r="C27" s="78"/>
      <c r="D27" s="78"/>
      <c r="E27" s="78"/>
      <c r="F27" s="79"/>
      <c r="G27" s="37">
        <f>G9+G15+G21</f>
        <v>11375229.018107548</v>
      </c>
      <c r="H27" s="10" t="s">
        <v>4</v>
      </c>
      <c r="I27" s="1"/>
    </row>
    <row r="28" spans="1:9" x14ac:dyDescent="0.25">
      <c r="A28" s="1"/>
      <c r="B28" s="77" t="s">
        <v>100</v>
      </c>
      <c r="C28" s="78"/>
      <c r="D28" s="78"/>
      <c r="E28" s="78"/>
      <c r="F28" s="79"/>
      <c r="G28" s="37">
        <f t="shared" ref="G28:G29" si="0">G10+G16+G22</f>
        <v>13586469.713187661</v>
      </c>
      <c r="H28" s="10" t="s">
        <v>4</v>
      </c>
      <c r="I28" s="1"/>
    </row>
    <row r="29" spans="1:9" x14ac:dyDescent="0.25">
      <c r="A29" s="1"/>
      <c r="B29" s="77" t="s">
        <v>101</v>
      </c>
      <c r="C29" s="78"/>
      <c r="D29" s="78"/>
      <c r="E29" s="78"/>
      <c r="F29" s="79"/>
      <c r="G29" s="37">
        <f t="shared" si="0"/>
        <v>17497230.380500779</v>
      </c>
      <c r="H29" s="10" t="s">
        <v>4</v>
      </c>
      <c r="I29" s="1"/>
    </row>
    <row r="30" spans="1:9" x14ac:dyDescent="0.25">
      <c r="A30" s="1"/>
      <c r="B30" s="73" t="s">
        <v>44</v>
      </c>
      <c r="C30" s="74"/>
      <c r="D30" s="74"/>
      <c r="E30" s="74"/>
      <c r="F30" s="75"/>
      <c r="G30" s="33">
        <f>SUM(G27:G29)</f>
        <v>42458929.111795992</v>
      </c>
      <c r="H30" s="18" t="s">
        <v>4</v>
      </c>
      <c r="I30" s="1"/>
    </row>
    <row r="31" spans="1:9" x14ac:dyDescent="0.25">
      <c r="A31" s="1"/>
      <c r="B31" s="21"/>
      <c r="C31" s="21"/>
      <c r="D31" s="21"/>
      <c r="E31" s="21"/>
      <c r="F31" s="21"/>
      <c r="G31" s="21"/>
      <c r="H31" s="21"/>
      <c r="I31" s="1"/>
    </row>
    <row r="32" spans="1:9" x14ac:dyDescent="0.25">
      <c r="A32" s="1"/>
      <c r="B32" s="22" t="s">
        <v>132</v>
      </c>
      <c r="C32" s="21"/>
      <c r="D32" s="21"/>
      <c r="E32" s="21"/>
      <c r="F32" s="21"/>
      <c r="G32" s="21"/>
      <c r="H32" s="21"/>
      <c r="I32" s="1"/>
    </row>
    <row r="33" spans="1:9" x14ac:dyDescent="0.25">
      <c r="A33" s="1"/>
      <c r="B33" s="22" t="s">
        <v>136</v>
      </c>
      <c r="C33" s="21"/>
      <c r="D33" s="21"/>
      <c r="E33" s="21"/>
      <c r="F33" s="21"/>
      <c r="G33" s="21"/>
      <c r="H33" s="21"/>
      <c r="I33" s="1"/>
    </row>
    <row r="34" spans="1:9" x14ac:dyDescent="0.25">
      <c r="A34" s="1"/>
      <c r="B34" s="22" t="s">
        <v>137</v>
      </c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6"/>
      <c r="B62" s="6"/>
      <c r="C62" s="6"/>
      <c r="D62" s="6"/>
      <c r="E62" s="6"/>
      <c r="F62" s="6"/>
      <c r="G62" s="6"/>
      <c r="H62" s="6"/>
      <c r="I62" s="6"/>
    </row>
  </sheetData>
  <mergeCells count="21">
    <mergeCell ref="B20:H20"/>
    <mergeCell ref="B21:F21"/>
    <mergeCell ref="B22:F22"/>
    <mergeCell ref="B23:F23"/>
    <mergeCell ref="B24:F24"/>
    <mergeCell ref="B30:F30"/>
    <mergeCell ref="B26:H26"/>
    <mergeCell ref="B3:H4"/>
    <mergeCell ref="B29:F29"/>
    <mergeCell ref="B28:F28"/>
    <mergeCell ref="B27:F27"/>
    <mergeCell ref="B8:H8"/>
    <mergeCell ref="B9:F9"/>
    <mergeCell ref="B10:F10"/>
    <mergeCell ref="B11:F11"/>
    <mergeCell ref="B12:F12"/>
    <mergeCell ref="B14:H14"/>
    <mergeCell ref="B15:F15"/>
    <mergeCell ref="B16:F16"/>
    <mergeCell ref="B17:F17"/>
    <mergeCell ref="B18:F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5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138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102</v>
      </c>
      <c r="C9" s="78"/>
      <c r="D9" s="78"/>
      <c r="E9" s="78"/>
      <c r="F9" s="79"/>
      <c r="G9" s="20">
        <f>'Fane 3. Grundlag'!G30-'Fane 3. Grundlag'!G29</f>
        <v>24961698.731295213</v>
      </c>
      <c r="H9" s="10" t="s">
        <v>4</v>
      </c>
      <c r="I9" s="1"/>
    </row>
    <row r="10" spans="1:9" x14ac:dyDescent="0.25">
      <c r="A10" s="1"/>
      <c r="B10" s="77" t="s">
        <v>71</v>
      </c>
      <c r="C10" s="78"/>
      <c r="D10" s="78"/>
      <c r="E10" s="78"/>
      <c r="F10" s="79"/>
      <c r="G10" s="44">
        <v>0.46908784914641533</v>
      </c>
      <c r="H10" s="10" t="s">
        <v>72</v>
      </c>
      <c r="I10" s="1"/>
    </row>
    <row r="11" spans="1:9" x14ac:dyDescent="0.25">
      <c r="A11" s="1"/>
      <c r="B11" s="73" t="s">
        <v>25</v>
      </c>
      <c r="C11" s="74"/>
      <c r="D11" s="74"/>
      <c r="E11" s="74"/>
      <c r="F11" s="75"/>
      <c r="G11" s="33">
        <f>$G$9*$G$10/100</f>
        <v>117092.29568904075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73" t="s">
        <v>139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7" t="s">
        <v>102</v>
      </c>
      <c r="C14" s="78"/>
      <c r="D14" s="78"/>
      <c r="E14" s="78"/>
      <c r="F14" s="79"/>
      <c r="G14" s="20">
        <f>('Fane 2.2. Økonomisk ramme 2018'!E9+'Fane 2.2. Økonomisk ramme 2018'!E14-'Fane 2.2. Økonomisk ramme 2018'!E12-'Fane 2.2. Økonomisk ramme 2018'!E17)*1.0127</f>
        <v>25208662.616925675</v>
      </c>
      <c r="H14" s="10" t="s">
        <v>4</v>
      </c>
      <c r="I14" s="1"/>
    </row>
    <row r="15" spans="1:9" x14ac:dyDescent="0.25">
      <c r="A15" s="1"/>
      <c r="B15" s="77" t="s">
        <v>71</v>
      </c>
      <c r="C15" s="78"/>
      <c r="D15" s="78"/>
      <c r="E15" s="78"/>
      <c r="F15" s="79"/>
      <c r="G15" s="44">
        <v>0.50123158708183946</v>
      </c>
      <c r="H15" s="10" t="s">
        <v>72</v>
      </c>
      <c r="I15" s="1"/>
    </row>
    <row r="16" spans="1:9" x14ac:dyDescent="0.25">
      <c r="A16" s="1"/>
      <c r="B16" s="73" t="s">
        <v>25</v>
      </c>
      <c r="C16" s="74"/>
      <c r="D16" s="74"/>
      <c r="E16" s="74"/>
      <c r="F16" s="75"/>
      <c r="G16" s="33">
        <f>$G$14*$G$15/100</f>
        <v>126353.77971692292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</sheetData>
  <mergeCells count="9">
    <mergeCell ref="B13:H13"/>
    <mergeCell ref="B14:F14"/>
    <mergeCell ref="B15:F15"/>
    <mergeCell ref="B16:F16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topLeftCell="A4" zoomScaleNormal="100" workbookViewId="0">
      <selection activeCell="B19" sqref="B19:F19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141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99</v>
      </c>
      <c r="C9" s="93"/>
      <c r="D9" s="93"/>
      <c r="E9" s="93"/>
      <c r="F9" s="94"/>
      <c r="G9" s="20">
        <f>'Fane 3. Grundlag'!G27</f>
        <v>11375229.018107548</v>
      </c>
      <c r="H9" s="10" t="s">
        <v>4</v>
      </c>
      <c r="I9" s="1"/>
    </row>
    <row r="10" spans="1:9" x14ac:dyDescent="0.25">
      <c r="A10" s="1"/>
      <c r="B10" s="77" t="s">
        <v>26</v>
      </c>
      <c r="C10" s="78"/>
      <c r="D10" s="78"/>
      <c r="E10" s="78"/>
      <c r="F10" s="79"/>
      <c r="G10" s="42">
        <f>2</f>
        <v>2</v>
      </c>
      <c r="H10" s="10" t="s">
        <v>72</v>
      </c>
      <c r="I10" s="1"/>
    </row>
    <row r="11" spans="1:9" x14ac:dyDescent="0.25">
      <c r="A11" s="1"/>
      <c r="B11" s="84" t="s">
        <v>73</v>
      </c>
      <c r="C11" s="85"/>
      <c r="D11" s="85"/>
      <c r="E11" s="85"/>
      <c r="F11" s="86"/>
      <c r="G11" s="32">
        <f>$G$9*$G$10/100</f>
        <v>227504.58036215097</v>
      </c>
      <c r="H11" s="16" t="s">
        <v>4</v>
      </c>
      <c r="I11" s="1"/>
    </row>
    <row r="12" spans="1:9" x14ac:dyDescent="0.25">
      <c r="A12" s="1"/>
      <c r="B12" s="77" t="s">
        <v>100</v>
      </c>
      <c r="C12" s="78"/>
      <c r="D12" s="78"/>
      <c r="E12" s="78"/>
      <c r="F12" s="79"/>
      <c r="G12" s="20">
        <f>'Fane 3. Grundlag'!G28</f>
        <v>13586469.713187661</v>
      </c>
      <c r="H12" s="10" t="s">
        <v>4</v>
      </c>
      <c r="I12" s="1"/>
    </row>
    <row r="13" spans="1:9" x14ac:dyDescent="0.25">
      <c r="A13" s="1"/>
      <c r="B13" s="77" t="s">
        <v>26</v>
      </c>
      <c r="C13" s="78"/>
      <c r="D13" s="78"/>
      <c r="E13" s="78"/>
      <c r="F13" s="79"/>
      <c r="G13" s="43">
        <f>0.91</f>
        <v>0.91</v>
      </c>
      <c r="H13" s="10" t="s">
        <v>72</v>
      </c>
      <c r="I13" s="1"/>
    </row>
    <row r="14" spans="1:9" x14ac:dyDescent="0.25">
      <c r="A14" s="1"/>
      <c r="B14" s="84" t="s">
        <v>74</v>
      </c>
      <c r="C14" s="85"/>
      <c r="D14" s="85"/>
      <c r="E14" s="85"/>
      <c r="F14" s="86"/>
      <c r="G14" s="32">
        <f>$G$12*$G$13/100</f>
        <v>123636.87439000772</v>
      </c>
      <c r="H14" s="16" t="s">
        <v>4</v>
      </c>
      <c r="I14" s="1"/>
    </row>
    <row r="15" spans="1:9" x14ac:dyDescent="0.25">
      <c r="A15" s="1"/>
      <c r="B15" s="73" t="s">
        <v>103</v>
      </c>
      <c r="C15" s="74"/>
      <c r="D15" s="74"/>
      <c r="E15" s="74"/>
      <c r="F15" s="75"/>
      <c r="G15" s="33">
        <f>G11+G14</f>
        <v>351141.45475215872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73" t="s">
        <v>142</v>
      </c>
      <c r="C18" s="74"/>
      <c r="D18" s="74"/>
      <c r="E18" s="74"/>
      <c r="F18" s="74"/>
      <c r="G18" s="74"/>
      <c r="H18" s="75"/>
      <c r="I18" s="1"/>
    </row>
    <row r="19" spans="1:9" x14ac:dyDescent="0.25">
      <c r="A19" s="1"/>
      <c r="B19" s="92" t="s">
        <v>99</v>
      </c>
      <c r="C19" s="93"/>
      <c r="D19" s="93"/>
      <c r="E19" s="93"/>
      <c r="F19" s="94"/>
      <c r="G19" s="20">
        <f>'Fane 2.2. Økonomisk ramme 2018'!E15</f>
        <v>229669.22029999999</v>
      </c>
      <c r="H19" s="10" t="s">
        <v>4</v>
      </c>
      <c r="I19" s="1"/>
    </row>
    <row r="20" spans="1:9" x14ac:dyDescent="0.25">
      <c r="A20" s="1"/>
      <c r="B20" s="77" t="s">
        <v>26</v>
      </c>
      <c r="C20" s="78"/>
      <c r="D20" s="78"/>
      <c r="E20" s="78"/>
      <c r="F20" s="79"/>
      <c r="G20" s="42">
        <f>2</f>
        <v>2</v>
      </c>
      <c r="H20" s="10" t="s">
        <v>72</v>
      </c>
      <c r="I20" s="1"/>
    </row>
    <row r="21" spans="1:9" x14ac:dyDescent="0.25">
      <c r="A21" s="1"/>
      <c r="B21" s="84" t="s">
        <v>73</v>
      </c>
      <c r="C21" s="85"/>
      <c r="D21" s="85"/>
      <c r="E21" s="85"/>
      <c r="F21" s="86"/>
      <c r="G21" s="32">
        <f>$G$19*$G$20/100</f>
        <v>4593.3844060000001</v>
      </c>
      <c r="H21" s="16" t="s">
        <v>4</v>
      </c>
      <c r="I21" s="1"/>
    </row>
    <row r="22" spans="1:9" x14ac:dyDescent="0.25">
      <c r="A22" s="1"/>
      <c r="B22" s="77" t="s">
        <v>100</v>
      </c>
      <c r="C22" s="78"/>
      <c r="D22" s="78"/>
      <c r="E22" s="78"/>
      <c r="F22" s="79"/>
      <c r="G22" s="20">
        <f>'Fane 2.2. Økonomisk ramme 2018'!E16</f>
        <v>169392.30359999998</v>
      </c>
      <c r="H22" s="10" t="s">
        <v>4</v>
      </c>
      <c r="I22" s="1"/>
    </row>
    <row r="23" spans="1:9" x14ac:dyDescent="0.25">
      <c r="A23" s="1"/>
      <c r="B23" s="77" t="s">
        <v>26</v>
      </c>
      <c r="C23" s="78"/>
      <c r="D23" s="78"/>
      <c r="E23" s="78"/>
      <c r="F23" s="79"/>
      <c r="G23" s="43">
        <f>0.91</f>
        <v>0.91</v>
      </c>
      <c r="H23" s="10" t="s">
        <v>72</v>
      </c>
      <c r="I23" s="1"/>
    </row>
    <row r="24" spans="1:9" x14ac:dyDescent="0.25">
      <c r="A24" s="1"/>
      <c r="B24" s="84" t="s">
        <v>74</v>
      </c>
      <c r="C24" s="85"/>
      <c r="D24" s="85"/>
      <c r="E24" s="85"/>
      <c r="F24" s="86"/>
      <c r="G24" s="32">
        <f>$G$22*$G$23/100</f>
        <v>1541.4699627599998</v>
      </c>
      <c r="H24" s="16" t="s">
        <v>4</v>
      </c>
      <c r="I24" s="1"/>
    </row>
    <row r="25" spans="1:9" x14ac:dyDescent="0.25">
      <c r="A25" s="1"/>
      <c r="B25" s="73" t="s">
        <v>103</v>
      </c>
      <c r="C25" s="74"/>
      <c r="D25" s="74"/>
      <c r="E25" s="74"/>
      <c r="F25" s="75"/>
      <c r="G25" s="33">
        <f>G21+G24</f>
        <v>6134.8543687599995</v>
      </c>
      <c r="H25" s="18" t="s">
        <v>4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mergeCells count="17">
    <mergeCell ref="B3:H4"/>
    <mergeCell ref="B8:H8"/>
    <mergeCell ref="B15:F15"/>
    <mergeCell ref="B14:F14"/>
    <mergeCell ref="B13:F13"/>
    <mergeCell ref="B12:F12"/>
    <mergeCell ref="B11:F11"/>
    <mergeCell ref="B10:F10"/>
    <mergeCell ref="B9:F9"/>
    <mergeCell ref="B23:F23"/>
    <mergeCell ref="B24:F24"/>
    <mergeCell ref="B25:F25"/>
    <mergeCell ref="B18:H18"/>
    <mergeCell ref="B19:F19"/>
    <mergeCell ref="B20:F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H12" sqref="H12"/>
    </sheetView>
  </sheetViews>
  <sheetFormatPr defaultRowHeight="15" x14ac:dyDescent="0.25"/>
  <cols>
    <col min="4" max="4" width="15.140625" customWidth="1"/>
    <col min="6" max="6" width="12.85546875" customWidth="1"/>
    <col min="7" max="7" width="10.42578125" bestFit="1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76</v>
      </c>
      <c r="C9" s="78"/>
      <c r="D9" s="78"/>
      <c r="E9" s="78"/>
      <c r="F9" s="79"/>
      <c r="G9" s="37">
        <v>-25910177</v>
      </c>
      <c r="H9" s="10" t="s">
        <v>4</v>
      </c>
      <c r="I9" s="1"/>
    </row>
    <row r="10" spans="1:9" x14ac:dyDescent="0.25">
      <c r="A10" s="1"/>
      <c r="B10" s="77" t="s">
        <v>77</v>
      </c>
      <c r="C10" s="78"/>
      <c r="D10" s="78"/>
      <c r="E10" s="78"/>
      <c r="F10" s="79"/>
      <c r="G10" s="37">
        <v>-13872211</v>
      </c>
      <c r="H10" s="10" t="s">
        <v>4</v>
      </c>
      <c r="I10" s="1"/>
    </row>
    <row r="11" spans="1:9" x14ac:dyDescent="0.25">
      <c r="A11" s="1"/>
      <c r="B11" s="98" t="s">
        <v>91</v>
      </c>
      <c r="C11" s="99"/>
      <c r="D11" s="99"/>
      <c r="E11" s="99"/>
      <c r="F11" s="100"/>
      <c r="G11" s="38">
        <v>-12037966</v>
      </c>
      <c r="H11" s="23" t="s">
        <v>4</v>
      </c>
      <c r="I11" s="1"/>
    </row>
    <row r="12" spans="1:9" x14ac:dyDescent="0.25">
      <c r="A12" s="1"/>
      <c r="B12" s="77" t="s">
        <v>78</v>
      </c>
      <c r="C12" s="78"/>
      <c r="D12" s="78"/>
      <c r="E12" s="78"/>
      <c r="F12" s="79"/>
      <c r="G12" s="37">
        <v>4</v>
      </c>
      <c r="H12" s="10" t="s">
        <v>140</v>
      </c>
      <c r="I12" s="1"/>
    </row>
    <row r="13" spans="1:9" x14ac:dyDescent="0.25">
      <c r="A13" s="1"/>
      <c r="B13" s="73" t="s">
        <v>75</v>
      </c>
      <c r="C13" s="74"/>
      <c r="D13" s="74"/>
      <c r="E13" s="74"/>
      <c r="F13" s="75"/>
      <c r="G13" s="33">
        <f>G11/G12</f>
        <v>-3009491.5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30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5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101" t="s">
        <v>3</v>
      </c>
      <c r="G9" s="101"/>
      <c r="H9" s="1"/>
    </row>
    <row r="10" spans="1:8" x14ac:dyDescent="0.25">
      <c r="A10" s="1"/>
      <c r="B10" s="41" t="s">
        <v>111</v>
      </c>
      <c r="C10" s="39">
        <v>2015</v>
      </c>
      <c r="D10" s="39">
        <v>75</v>
      </c>
      <c r="E10" s="37">
        <v>1983670</v>
      </c>
      <c r="F10" s="20">
        <f>E10/D10</f>
        <v>26448.933333333334</v>
      </c>
      <c r="G10" s="10" t="s">
        <v>4</v>
      </c>
      <c r="H10" s="1"/>
    </row>
    <row r="11" spans="1:8" x14ac:dyDescent="0.25">
      <c r="A11" s="1"/>
      <c r="B11" s="41" t="s">
        <v>112</v>
      </c>
      <c r="C11" s="39">
        <v>2015</v>
      </c>
      <c r="D11" s="39">
        <v>75</v>
      </c>
      <c r="E11" s="37">
        <v>7285296</v>
      </c>
      <c r="F11" s="20">
        <f t="shared" ref="F11:F21" si="0">E11/D11</f>
        <v>97137.279999999999</v>
      </c>
      <c r="G11" s="10" t="s">
        <v>4</v>
      </c>
      <c r="H11" s="1"/>
    </row>
    <row r="12" spans="1:8" x14ac:dyDescent="0.25">
      <c r="A12" s="1"/>
      <c r="B12" s="41" t="s">
        <v>113</v>
      </c>
      <c r="C12" s="39">
        <v>2015</v>
      </c>
      <c r="D12" s="39">
        <v>75</v>
      </c>
      <c r="E12" s="37">
        <v>67463</v>
      </c>
      <c r="F12" s="20">
        <f t="shared" si="0"/>
        <v>899.50666666666666</v>
      </c>
      <c r="G12" s="10" t="s">
        <v>4</v>
      </c>
      <c r="H12" s="1"/>
    </row>
    <row r="13" spans="1:8" x14ac:dyDescent="0.25">
      <c r="A13" s="1"/>
      <c r="B13" s="41" t="s">
        <v>114</v>
      </c>
      <c r="C13" s="39">
        <v>2015</v>
      </c>
      <c r="D13" s="39">
        <v>75</v>
      </c>
      <c r="E13" s="37">
        <v>1097413</v>
      </c>
      <c r="F13" s="20">
        <f t="shared" si="0"/>
        <v>14632.173333333334</v>
      </c>
      <c r="G13" s="10" t="s">
        <v>4</v>
      </c>
      <c r="H13" s="1"/>
    </row>
    <row r="14" spans="1:8" x14ac:dyDescent="0.25">
      <c r="A14" s="1"/>
      <c r="B14" s="41" t="s">
        <v>115</v>
      </c>
      <c r="C14" s="39">
        <v>2015</v>
      </c>
      <c r="D14" s="39">
        <v>25</v>
      </c>
      <c r="E14" s="37">
        <v>40294</v>
      </c>
      <c r="F14" s="20">
        <f t="shared" si="0"/>
        <v>1611.76</v>
      </c>
      <c r="G14" s="10" t="s">
        <v>4</v>
      </c>
      <c r="H14" s="1"/>
    </row>
    <row r="15" spans="1:8" x14ac:dyDescent="0.25">
      <c r="A15" s="1"/>
      <c r="B15" s="41" t="s">
        <v>116</v>
      </c>
      <c r="C15" s="39">
        <v>2015</v>
      </c>
      <c r="D15" s="39">
        <v>30</v>
      </c>
      <c r="E15" s="37">
        <v>827895</v>
      </c>
      <c r="F15" s="20">
        <f t="shared" si="0"/>
        <v>27596.5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10</v>
      </c>
      <c r="E16" s="37">
        <v>1219811</v>
      </c>
      <c r="F16" s="20">
        <f t="shared" si="0"/>
        <v>121981.1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25</v>
      </c>
      <c r="E17" s="37">
        <v>506987</v>
      </c>
      <c r="F17" s="20">
        <f t="shared" si="0"/>
        <v>20279.48</v>
      </c>
      <c r="G17" s="10" t="s">
        <v>4</v>
      </c>
      <c r="H17" s="1"/>
    </row>
    <row r="18" spans="1:8" x14ac:dyDescent="0.25">
      <c r="A18" s="1"/>
      <c r="B18" s="41" t="s">
        <v>119</v>
      </c>
      <c r="C18" s="39">
        <v>2015</v>
      </c>
      <c r="D18" s="39">
        <v>8</v>
      </c>
      <c r="E18" s="37">
        <v>54423</v>
      </c>
      <c r="F18" s="20">
        <f t="shared" si="0"/>
        <v>6802.875</v>
      </c>
      <c r="G18" s="10" t="s">
        <v>4</v>
      </c>
      <c r="H18" s="1"/>
    </row>
    <row r="19" spans="1:8" x14ac:dyDescent="0.25">
      <c r="A19" s="1"/>
      <c r="B19" s="41" t="s">
        <v>120</v>
      </c>
      <c r="C19" s="39">
        <v>2015</v>
      </c>
      <c r="D19" s="39">
        <v>5</v>
      </c>
      <c r="E19" s="37">
        <v>277240</v>
      </c>
      <c r="F19" s="20">
        <f t="shared" si="0"/>
        <v>55448</v>
      </c>
      <c r="G19" s="10" t="s">
        <v>4</v>
      </c>
      <c r="H19" s="1"/>
    </row>
    <row r="20" spans="1:8" x14ac:dyDescent="0.25">
      <c r="A20" s="1"/>
      <c r="B20" s="41" t="s">
        <v>121</v>
      </c>
      <c r="C20" s="39">
        <v>2015</v>
      </c>
      <c r="D20" s="39">
        <v>5</v>
      </c>
      <c r="E20" s="37">
        <v>20531</v>
      </c>
      <c r="F20" s="20">
        <f t="shared" si="0"/>
        <v>4106.2</v>
      </c>
      <c r="G20" s="10" t="s">
        <v>4</v>
      </c>
      <c r="H20" s="1"/>
    </row>
    <row r="21" spans="1:8" x14ac:dyDescent="0.25">
      <c r="A21" s="1"/>
      <c r="B21" s="41" t="s">
        <v>122</v>
      </c>
      <c r="C21" s="39">
        <v>2015</v>
      </c>
      <c r="D21" s="39">
        <v>20</v>
      </c>
      <c r="E21" s="37">
        <v>102684</v>
      </c>
      <c r="F21" s="20">
        <f t="shared" si="0"/>
        <v>5134.2</v>
      </c>
      <c r="G21" s="10" t="s">
        <v>4</v>
      </c>
      <c r="H21" s="1"/>
    </row>
    <row r="22" spans="1:8" x14ac:dyDescent="0.25">
      <c r="A22" s="1"/>
      <c r="B22" s="73" t="s">
        <v>123</v>
      </c>
      <c r="C22" s="74"/>
      <c r="D22" s="74"/>
      <c r="E22" s="75"/>
      <c r="F22" s="33">
        <f>SUM(F10:F21)</f>
        <v>382078.00833333336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2" t="s">
        <v>7</v>
      </c>
      <c r="C3" s="102"/>
      <c r="D3" s="102"/>
      <c r="E3" s="102"/>
      <c r="F3" s="102"/>
      <c r="G3" s="102"/>
      <c r="H3" s="102"/>
      <c r="I3" s="1"/>
    </row>
    <row r="4" spans="1:9" ht="15" customHeight="1" x14ac:dyDescent="0.25">
      <c r="A4" s="1"/>
      <c r="B4" s="102"/>
      <c r="C4" s="102"/>
      <c r="D4" s="102"/>
      <c r="E4" s="102"/>
      <c r="F4" s="102"/>
      <c r="G4" s="102"/>
      <c r="H4" s="10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7" t="s">
        <v>80</v>
      </c>
      <c r="C9" s="78"/>
      <c r="D9" s="78"/>
      <c r="E9" s="78"/>
      <c r="F9" s="79"/>
      <c r="G9" s="37">
        <v>17287332</v>
      </c>
      <c r="H9" s="10" t="s">
        <v>4</v>
      </c>
      <c r="I9" s="1"/>
    </row>
    <row r="10" spans="1:9" x14ac:dyDescent="0.25">
      <c r="A10" s="1"/>
      <c r="B10" s="77" t="s">
        <v>81</v>
      </c>
      <c r="C10" s="78"/>
      <c r="D10" s="78"/>
      <c r="E10" s="78"/>
      <c r="F10" s="79"/>
      <c r="G10" s="37">
        <v>14921000</v>
      </c>
      <c r="H10" s="10" t="s">
        <v>4</v>
      </c>
      <c r="I10" s="1"/>
    </row>
    <row r="11" spans="1:9" x14ac:dyDescent="0.25">
      <c r="A11" s="1"/>
      <c r="B11" s="73" t="s">
        <v>82</v>
      </c>
      <c r="C11" s="74"/>
      <c r="D11" s="74"/>
      <c r="E11" s="74"/>
      <c r="F11" s="75"/>
      <c r="G11" s="33">
        <f>G9-G10</f>
        <v>2366332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7" t="s">
        <v>84</v>
      </c>
      <c r="C15" s="78"/>
      <c r="D15" s="78"/>
      <c r="E15" s="78"/>
      <c r="F15" s="79"/>
      <c r="G15" s="37">
        <v>2754517</v>
      </c>
      <c r="H15" s="10" t="s">
        <v>4</v>
      </c>
      <c r="I15" s="1"/>
    </row>
    <row r="16" spans="1:9" x14ac:dyDescent="0.25">
      <c r="A16" s="1"/>
      <c r="B16" s="77" t="s">
        <v>85</v>
      </c>
      <c r="C16" s="78"/>
      <c r="D16" s="78"/>
      <c r="E16" s="78"/>
      <c r="F16" s="79"/>
      <c r="G16" s="37">
        <v>3000000</v>
      </c>
      <c r="H16" s="10" t="s">
        <v>4</v>
      </c>
      <c r="I16" s="1"/>
    </row>
    <row r="17" spans="1:9" x14ac:dyDescent="0.25">
      <c r="A17" s="1"/>
      <c r="B17" s="73" t="s">
        <v>86</v>
      </c>
      <c r="C17" s="74"/>
      <c r="D17" s="74"/>
      <c r="E17" s="74"/>
      <c r="F17" s="75"/>
      <c r="G17" s="33">
        <f>G15-G16</f>
        <v>-245483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7" t="s">
        <v>94</v>
      </c>
      <c r="C21" s="78"/>
      <c r="D21" s="78"/>
      <c r="E21" s="78"/>
      <c r="F21" s="79"/>
      <c r="G21" s="37">
        <v>264738</v>
      </c>
      <c r="H21" s="10" t="s">
        <v>4</v>
      </c>
      <c r="I21" s="1"/>
    </row>
    <row r="22" spans="1:9" x14ac:dyDescent="0.25">
      <c r="A22" s="1"/>
      <c r="B22" s="77" t="s">
        <v>96</v>
      </c>
      <c r="C22" s="78"/>
      <c r="D22" s="78"/>
      <c r="E22" s="78"/>
      <c r="F22" s="79"/>
      <c r="G22" s="37">
        <v>283000</v>
      </c>
      <c r="H22" s="10" t="s">
        <v>4</v>
      </c>
      <c r="I22" s="1"/>
    </row>
    <row r="23" spans="1:9" x14ac:dyDescent="0.25">
      <c r="A23" s="1"/>
      <c r="B23" s="73" t="s">
        <v>95</v>
      </c>
      <c r="C23" s="74"/>
      <c r="D23" s="74"/>
      <c r="E23" s="74"/>
      <c r="F23" s="75"/>
      <c r="G23" s="33">
        <f>G21-G22</f>
        <v>-18262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7" t="s">
        <v>88</v>
      </c>
      <c r="C27" s="78"/>
      <c r="D27" s="78"/>
      <c r="E27" s="78"/>
      <c r="F27" s="79"/>
      <c r="G27" s="37">
        <v>279250</v>
      </c>
      <c r="H27" s="10" t="s">
        <v>4</v>
      </c>
      <c r="I27" s="1"/>
    </row>
    <row r="28" spans="1:9" x14ac:dyDescent="0.25">
      <c r="A28" s="1"/>
      <c r="B28" s="77" t="s">
        <v>89</v>
      </c>
      <c r="C28" s="78"/>
      <c r="D28" s="78"/>
      <c r="E28" s="78"/>
      <c r="F28" s="79"/>
      <c r="G28" s="37">
        <v>290737</v>
      </c>
      <c r="H28" s="10" t="s">
        <v>4</v>
      </c>
      <c r="I28" s="1"/>
    </row>
    <row r="29" spans="1:9" x14ac:dyDescent="0.25">
      <c r="A29" s="1"/>
      <c r="B29" s="77" t="s">
        <v>90</v>
      </c>
      <c r="C29" s="78"/>
      <c r="D29" s="78"/>
      <c r="E29" s="78"/>
      <c r="F29" s="79"/>
      <c r="G29" s="20">
        <f>'Fane 7. Gen. inv. i 2015'!F22</f>
        <v>382078.00833333336</v>
      </c>
      <c r="H29" s="10" t="s">
        <v>4</v>
      </c>
      <c r="I29" s="1"/>
    </row>
    <row r="30" spans="1:9" x14ac:dyDescent="0.25">
      <c r="A30" s="1"/>
      <c r="B30" s="73" t="s">
        <v>87</v>
      </c>
      <c r="C30" s="74"/>
      <c r="D30" s="74"/>
      <c r="E30" s="74"/>
      <c r="F30" s="75"/>
      <c r="G30" s="33">
        <f>G29-G27+G29-G28</f>
        <v>194169.01666666672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2018-03-23T14:32:32Z</dcterms:modified>
</cp:coreProperties>
</file>