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839"/>
  </bookViews>
  <sheets>
    <sheet name="1. Forside" sheetId="1" r:id="rId1"/>
    <sheet name="Fane 2. Overblik ØR18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4" i="19" l="1"/>
  <c r="G11" i="7" l="1"/>
  <c r="G10" i="7"/>
  <c r="G9" i="7"/>
  <c r="E14" i="19"/>
  <c r="G13" i="10" l="1"/>
  <c r="G11" i="10" l="1"/>
  <c r="F18" i="20"/>
  <c r="F19" i="20" s="1"/>
  <c r="E20" i="22" s="1"/>
  <c r="F16" i="11" l="1"/>
  <c r="F15" i="11"/>
  <c r="F14" i="11"/>
  <c r="F13" i="11"/>
  <c r="F12" i="11"/>
  <c r="F11" i="21" l="1"/>
  <c r="D11" i="21"/>
  <c r="D12" i="21" l="1"/>
  <c r="F12" i="21"/>
  <c r="F11" i="20"/>
  <c r="F12" i="20" s="1"/>
  <c r="E19" i="22" s="1"/>
  <c r="D11" i="20"/>
  <c r="D12" i="20" s="1"/>
  <c r="E18" i="22" s="1"/>
  <c r="E24" i="22" l="1"/>
  <c r="E25" i="22"/>
  <c r="G18" i="19" l="1"/>
  <c r="G19" i="19" s="1"/>
  <c r="E15" i="22" s="1"/>
  <c r="E23" i="22" s="1"/>
  <c r="G12" i="7"/>
  <c r="E27" i="22" l="1"/>
  <c r="E15" i="13"/>
  <c r="F11" i="11"/>
  <c r="F17" i="11"/>
  <c r="G30" i="13" l="1"/>
  <c r="E35" i="13" l="1"/>
  <c r="G35" i="13" s="1"/>
  <c r="E27" i="13"/>
  <c r="E19" i="13"/>
  <c r="G11" i="12"/>
  <c r="G23" i="12"/>
  <c r="G17" i="12"/>
  <c r="F10" i="11"/>
  <c r="F18" i="11" s="1"/>
  <c r="G27" i="12" l="1"/>
  <c r="G29" i="12" s="1"/>
  <c r="E28" i="13"/>
  <c r="G28" i="13" s="1"/>
  <c r="G36" i="13" s="1"/>
</calcChain>
</file>

<file path=xl/sharedStrings.xml><?xml version="1.0" encoding="utf-8"?>
<sst xmlns="http://schemas.openxmlformats.org/spreadsheetml/2006/main" count="287" uniqueCount="153">
  <si>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</si>
  <si>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</si>
  <si>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</si>
  <si>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</si>
  <si>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</si>
  <si>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</si>
  <si>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</si>
  <si>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</si>
  <si>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</si>
  <si>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</si>
  <si>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</si>
  <si>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</si>
  <si>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</si>
  <si>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</si>
  <si>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</si>
  <si>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</si>
  <si>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</si>
  <si>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</si>
  <si>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</si>
  <si>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</si>
  <si>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</si>
  <si>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</si>
  <si>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</si>
  <si>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</si>
  <si>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</si>
  <si>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</si>
  <si>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</si>
  <si>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</si>
  <si>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</si>
  <si>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</si>
  <si>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</si>
  <si>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</si>
  <si>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</si>
  <si>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</si>
  <si>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</si>
  <si>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</si>
  <si>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</si>
  <si>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</si>
  <si>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</si>
  <si>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</si>
  <si>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</si>
  <si>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</si>
  <si>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</si>
  <si>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</si>
  <si>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</si>
  <si>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</si>
  <si>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</si>
  <si>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</si>
  <si>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</si>
  <si>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</si>
  <si>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</si>
  <si>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</si>
  <si>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</si>
  <si>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</si>
  <si>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</si>
  <si>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</si>
  <si>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</si>
  <si>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</si>
  <si>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</si>
  <si>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</si>
  <si>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</si>
  <si>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</si>
  <si>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</si>
  <si>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</si>
  <si>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</si>
  <si>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</si>
  <si>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</si>
  <si>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</si>
  <si>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</si>
  <si>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</si>
  <si>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</si>
  <si>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</si>
  <si>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</si>
  <si>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</si>
  <si>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</si>
  <si>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</si>
  <si>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</si>
  <si>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</si>
  <si>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</si>
  <si>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</si>
  <si>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</si>
  <si>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</si>
  <si>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</si>
  <si>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</si>
  <si>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</si>
  <si>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</si>
  <si>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</si>
  <si>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</si>
  <si>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</si>
  <si>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</si>
  <si>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</si>
  <si>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</si>
  <si>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</si>
  <si>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</si>
  <si>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</si>
  <si>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</si>
  <si>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</si>
  <si>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</si>
  <si>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</si>
  <si>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</si>
  <si>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</si>
  <si>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</si>
  <si>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</si>
  <si>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</si>
  <si>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</si>
  <si>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Fane 2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</si>
  <si>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</si>
  <si>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</si>
  <si>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</si>
  <si>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</si>
  <si>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</si>
  <si>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</si>
  <si>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</si>
  <si>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</si>
  <si>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Ø110 mm &lt; Ledningsnet ≤ Ø 250 mm</t>
  </si>
  <si>
    <t>Eternitledninger Ø 250 mm &lt; Ledningsnet ≤ Ø 500mm</t>
  </si>
  <si>
    <t>Ledningsnet ≤ Ø50 mm</t>
  </si>
  <si>
    <t>SRO-anlæg, vandværk</t>
  </si>
  <si>
    <t>Udpumpningsanlæg, rentvandspumper på vandværk</t>
  </si>
  <si>
    <t>Råvandsstation komplet montering og boringshus/tørbrønd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</si>
  <si>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</si>
  <si>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</si>
  <si>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</si>
  <si>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</si>
  <si>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</si>
  <si>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</si>
  <si>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</si>
  <si>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</si>
  <si>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</si>
  <si>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</si>
  <si>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</si>
  <si>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</si>
  <si>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</si>
  <si>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</si>
  <si>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</si>
  <si>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</si>
  <si>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</si>
  <si>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</si>
  <si>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</si>
  <si>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</si>
  <si>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</si>
  <si>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</si>
  <si>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</si>
  <si>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</si>
  <si>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</si>
  <si>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</si>
  <si>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</si>
  <si>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Beregningen af de enkelte komponenter i grundlaget fremgår af bilag B og fusionsbilagene 1, 2 og 3.</t>
  </si>
  <si>
    <t>Individuelt effektiviseringskrav stillet til de økonomiske rammer for 2018</t>
  </si>
  <si>
    <t xml:space="preserve">Vi har lagt de ikke-påvirkelige omkostninger til for Helsted Vandværk, Gimming Vandværk til i den økonomiske ramme for 2017. Bemærk, at det er i 2016-niveau. I de faktiske beløb i 2016 har vi kun lagt de ikke-påvirkelige omkostninger til for Helsted Vandværk og Fyrrebakkens Vandværk.  </t>
  </si>
  <si>
    <t>Fane 2: Overblik over økonomiske rammer for 2018</t>
  </si>
  <si>
    <t>Prisudvikling og generelt krav anvendt i de økonomiske rammer for 2018</t>
  </si>
  <si>
    <t>Overblik over økonomiske ramme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</si>
</sst>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0" fillId="2" borderId="0" xfId="0" applyNumberFormat="1" applyFill="1" applyProtection="1"/>
    <xf numFmtId="3" fontId="0" fillId="0" borderId="0" xfId="0" applyNumberForma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G26" sqref="G26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112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105</v>
      </c>
      <c r="D13" s="76" t="s">
        <v>152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49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52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70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91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51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47</v>
      </c>
      <c r="D21" s="61" t="s">
        <v>50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  <hyperlink ref="D13:G13" location="'Fane 2. Overblik ØR18'!A1" display="Overblik over økonomiske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111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79</v>
      </c>
      <c r="C9" s="33"/>
      <c r="D9" s="101" t="s">
        <v>42</v>
      </c>
      <c r="E9" s="101"/>
      <c r="F9" s="101" t="s">
        <v>82</v>
      </c>
      <c r="G9" s="101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83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93</v>
      </c>
      <c r="C12" s="93"/>
      <c r="D12" s="15">
        <f>D11*(1+'Fane 2. Overblik ØR18'!E30/100)</f>
        <v>0</v>
      </c>
      <c r="E12" s="16" t="s">
        <v>4</v>
      </c>
      <c r="F12" s="15">
        <f>F11*(1+'Fane 2. Overblik ØR18'!E30/100)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J33"/>
  <sheetViews>
    <sheetView showGridLines="0" view="pageLayout" topLeftCell="A4" zoomScaleNormal="100" workbookViewId="0">
      <selection activeCell="A23" sqref="A23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42578125" style="3" customWidth="1"/>
    <col min="8" max="8" width="3.28515625" style="3" customWidth="1"/>
    <col min="9" max="9" width="14.140625" style="3" customWidth="1"/>
    <col min="10" max="16384" width="9.140625" style="3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5">
      <c r="A3" s="2"/>
      <c r="B3" s="82" t="s">
        <v>150</v>
      </c>
      <c r="C3" s="82"/>
      <c r="D3" s="82"/>
      <c r="E3" s="82"/>
      <c r="F3" s="82"/>
      <c r="G3" s="82"/>
      <c r="H3" s="82"/>
      <c r="I3" s="2"/>
      <c r="J3" s="2"/>
    </row>
    <row r="4" spans="1:10" ht="15" customHeight="1" x14ac:dyDescent="0.25">
      <c r="A4" s="2"/>
      <c r="B4" s="82"/>
      <c r="C4" s="82"/>
      <c r="D4" s="82"/>
      <c r="E4" s="82"/>
      <c r="F4" s="82"/>
      <c r="G4" s="82"/>
      <c r="H4" s="82"/>
      <c r="I4" s="2"/>
      <c r="J4" s="2"/>
    </row>
    <row r="5" spans="1:10" x14ac:dyDescent="0.25">
      <c r="A5" s="2"/>
      <c r="B5" s="83"/>
      <c r="C5" s="83"/>
      <c r="D5" s="83"/>
      <c r="E5" s="83"/>
      <c r="F5" s="83"/>
      <c r="G5" s="83"/>
      <c r="H5" s="83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37"/>
      <c r="C8" s="38"/>
      <c r="D8" s="38"/>
      <c r="E8" s="38">
        <v>2018</v>
      </c>
      <c r="F8" s="39"/>
      <c r="G8" s="2"/>
      <c r="H8" s="2"/>
      <c r="I8" s="2"/>
      <c r="J8" s="2"/>
    </row>
    <row r="9" spans="1:10" ht="15" customHeight="1" x14ac:dyDescent="0.25">
      <c r="A9" s="2"/>
      <c r="B9" s="84" t="s">
        <v>97</v>
      </c>
      <c r="C9" s="85"/>
      <c r="D9" s="86"/>
      <c r="E9" s="49">
        <v>39567988</v>
      </c>
      <c r="F9" s="13" t="s">
        <v>4</v>
      </c>
      <c r="G9" s="2"/>
      <c r="H9" s="2"/>
      <c r="I9" s="2"/>
      <c r="J9" s="2"/>
    </row>
    <row r="10" spans="1:10" x14ac:dyDescent="0.25">
      <c r="A10" s="2"/>
      <c r="B10" s="87" t="s">
        <v>71</v>
      </c>
      <c r="C10" s="80"/>
      <c r="D10" s="81"/>
      <c r="E10" s="40" t="s">
        <v>98</v>
      </c>
      <c r="F10" s="8" t="s">
        <v>4</v>
      </c>
      <c r="G10" s="2"/>
      <c r="H10" s="2"/>
      <c r="I10" s="56"/>
      <c r="J10" s="56"/>
    </row>
    <row r="11" spans="1:10" x14ac:dyDescent="0.25">
      <c r="A11" s="2"/>
      <c r="B11" s="45" t="s">
        <v>72</v>
      </c>
      <c r="C11" s="43"/>
      <c r="D11" s="44"/>
      <c r="E11" s="40" t="s">
        <v>98</v>
      </c>
      <c r="F11" s="8" t="s">
        <v>4</v>
      </c>
      <c r="G11" s="2"/>
      <c r="H11" s="2"/>
      <c r="I11" s="2"/>
      <c r="J11" s="2"/>
    </row>
    <row r="12" spans="1:10" x14ac:dyDescent="0.25">
      <c r="A12" s="2"/>
      <c r="B12" s="45" t="s">
        <v>89</v>
      </c>
      <c r="C12" s="43"/>
      <c r="D12" s="44"/>
      <c r="E12" s="40" t="s">
        <v>98</v>
      </c>
      <c r="F12" s="8" t="s">
        <v>4</v>
      </c>
      <c r="G12" s="2"/>
      <c r="H12" s="2"/>
      <c r="I12" s="2"/>
      <c r="J12" s="2"/>
    </row>
    <row r="13" spans="1:10" x14ac:dyDescent="0.25">
      <c r="A13" s="2"/>
      <c r="B13" s="45" t="s">
        <v>145</v>
      </c>
      <c r="C13" s="43"/>
      <c r="D13" s="44"/>
      <c r="E13" s="40" t="s">
        <v>98</v>
      </c>
      <c r="F13" s="8" t="s">
        <v>4</v>
      </c>
      <c r="G13" s="2"/>
      <c r="H13" s="2"/>
      <c r="I13" s="2"/>
      <c r="J13" s="2"/>
    </row>
    <row r="14" spans="1:10" x14ac:dyDescent="0.25">
      <c r="A14" s="2"/>
      <c r="B14" s="55" t="s">
        <v>144</v>
      </c>
      <c r="C14" s="53"/>
      <c r="D14" s="54"/>
      <c r="E14" s="40" t="s">
        <v>98</v>
      </c>
      <c r="F14" s="8" t="s">
        <v>4</v>
      </c>
      <c r="G14" s="2"/>
      <c r="H14" s="2"/>
      <c r="I14" s="2"/>
      <c r="J14" s="2"/>
    </row>
    <row r="15" spans="1:10" x14ac:dyDescent="0.25">
      <c r="A15" s="2"/>
      <c r="B15" s="87" t="s">
        <v>99</v>
      </c>
      <c r="C15" s="80"/>
      <c r="D15" s="81"/>
      <c r="E15" s="41">
        <f>'Fane 4. Ikke-påvirkelige omk.'!G19</f>
        <v>-1779481.6264995006</v>
      </c>
      <c r="F15" s="8" t="s">
        <v>4</v>
      </c>
      <c r="G15" s="2"/>
      <c r="H15" s="2"/>
      <c r="I15" s="2"/>
      <c r="J15" s="2"/>
    </row>
    <row r="16" spans="1:10" x14ac:dyDescent="0.25">
      <c r="A16" s="2"/>
      <c r="B16" s="87" t="s">
        <v>70</v>
      </c>
      <c r="C16" s="80"/>
      <c r="D16" s="81"/>
      <c r="E16" s="40" t="s">
        <v>98</v>
      </c>
      <c r="F16" s="8" t="s">
        <v>4</v>
      </c>
      <c r="G16" s="2"/>
      <c r="H16" s="2"/>
      <c r="I16" s="2"/>
      <c r="J16" s="2"/>
    </row>
    <row r="17" spans="1:10" x14ac:dyDescent="0.25">
      <c r="A17" s="2"/>
      <c r="B17" s="87" t="s">
        <v>100</v>
      </c>
      <c r="C17" s="80"/>
      <c r="D17" s="81"/>
      <c r="E17" s="40" t="s">
        <v>98</v>
      </c>
      <c r="F17" s="8" t="s">
        <v>4</v>
      </c>
      <c r="G17" s="2"/>
      <c r="H17" s="2"/>
      <c r="I17" s="2"/>
      <c r="J17" s="2"/>
    </row>
    <row r="18" spans="1:10" x14ac:dyDescent="0.25">
      <c r="A18" s="2"/>
      <c r="B18" s="79" t="s">
        <v>101</v>
      </c>
      <c r="C18" s="80"/>
      <c r="D18" s="81"/>
      <c r="E18" s="41">
        <f>'Fane 9. Tillæg'!D12</f>
        <v>0</v>
      </c>
      <c r="F18" s="8" t="s">
        <v>4</v>
      </c>
      <c r="G18" s="2"/>
      <c r="H18" s="2"/>
      <c r="I18" s="2"/>
      <c r="J18" s="2"/>
    </row>
    <row r="19" spans="1:10" x14ac:dyDescent="0.25">
      <c r="A19" s="2"/>
      <c r="B19" s="79" t="s">
        <v>102</v>
      </c>
      <c r="C19" s="80"/>
      <c r="D19" s="81"/>
      <c r="E19" s="47">
        <f>'Fane 9. Tillæg'!F12</f>
        <v>0</v>
      </c>
      <c r="F19" s="8" t="s">
        <v>4</v>
      </c>
      <c r="G19" s="2"/>
      <c r="H19" s="2"/>
      <c r="I19" s="2"/>
      <c r="J19" s="2"/>
    </row>
    <row r="20" spans="1:10" x14ac:dyDescent="0.25">
      <c r="A20" s="2"/>
      <c r="B20" s="36" t="s">
        <v>129</v>
      </c>
      <c r="C20" s="34"/>
      <c r="D20" s="35"/>
      <c r="E20" s="47">
        <f>'Fane 9. Tillæg'!F19</f>
        <v>0</v>
      </c>
      <c r="F20" s="8" t="s">
        <v>4</v>
      </c>
      <c r="G20" s="2"/>
      <c r="H20" s="2"/>
      <c r="I20" s="2"/>
      <c r="J20" s="2"/>
    </row>
    <row r="21" spans="1:10" x14ac:dyDescent="0.25">
      <c r="A21" s="2"/>
      <c r="B21" s="79" t="s">
        <v>103</v>
      </c>
      <c r="C21" s="80"/>
      <c r="D21" s="81"/>
      <c r="E21" s="40" t="s">
        <v>98</v>
      </c>
      <c r="F21" s="8" t="s">
        <v>4</v>
      </c>
      <c r="G21" s="2"/>
      <c r="H21" s="2"/>
      <c r="I21" s="56"/>
      <c r="J21" s="56"/>
    </row>
    <row r="22" spans="1:10" x14ac:dyDescent="0.25">
      <c r="A22" s="2"/>
      <c r="B22" s="79" t="s">
        <v>103</v>
      </c>
      <c r="C22" s="80"/>
      <c r="D22" s="81"/>
      <c r="E22" s="40" t="s">
        <v>98</v>
      </c>
      <c r="F22" s="8" t="s">
        <v>4</v>
      </c>
      <c r="G22" s="2"/>
      <c r="H22" s="2"/>
      <c r="I22" s="2"/>
      <c r="J22" s="2"/>
    </row>
    <row r="23" spans="1:10" x14ac:dyDescent="0.25">
      <c r="A23" s="2"/>
      <c r="B23" s="79" t="s">
        <v>48</v>
      </c>
      <c r="C23" s="80"/>
      <c r="D23" s="81"/>
      <c r="E23" s="41">
        <f>SUM(E15:E20)*E30/100</f>
        <v>-31140.92846374126</v>
      </c>
      <c r="F23" s="8" t="s">
        <v>4</v>
      </c>
      <c r="G23" s="2"/>
      <c r="H23" s="2"/>
      <c r="I23" s="2"/>
      <c r="J23" s="2"/>
    </row>
    <row r="24" spans="1:10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2"/>
      <c r="H24" s="2"/>
      <c r="I24" s="2"/>
      <c r="J24" s="2"/>
    </row>
    <row r="25" spans="1:10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2"/>
      <c r="H25" s="2"/>
      <c r="I25" s="2"/>
      <c r="J25" s="2"/>
    </row>
    <row r="26" spans="1:10" x14ac:dyDescent="0.25">
      <c r="A26" s="2"/>
      <c r="B26" s="79" t="s">
        <v>16</v>
      </c>
      <c r="C26" s="80"/>
      <c r="D26" s="81"/>
      <c r="E26" s="40" t="s">
        <v>98</v>
      </c>
      <c r="F26" s="8" t="s">
        <v>4</v>
      </c>
      <c r="G26" s="2"/>
      <c r="H26" s="2"/>
      <c r="I26" s="2"/>
      <c r="J26" s="2"/>
    </row>
    <row r="27" spans="1:10" x14ac:dyDescent="0.25">
      <c r="A27" s="2"/>
      <c r="B27" s="37" t="s">
        <v>104</v>
      </c>
      <c r="C27" s="38"/>
      <c r="D27" s="38"/>
      <c r="E27" s="48">
        <f>SUM(E9:E25)</f>
        <v>37757365.445036754</v>
      </c>
      <c r="F27" s="38" t="s">
        <v>4</v>
      </c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37" t="s">
        <v>151</v>
      </c>
      <c r="C29" s="38"/>
      <c r="D29" s="38"/>
      <c r="E29" s="38"/>
      <c r="F29" s="39"/>
      <c r="G29" s="2"/>
      <c r="H29" s="2"/>
      <c r="I29" s="2"/>
      <c r="J29" s="2"/>
    </row>
    <row r="30" spans="1:10" ht="15" customHeight="1" x14ac:dyDescent="0.25">
      <c r="A30" s="2"/>
      <c r="B30" s="79" t="s">
        <v>136</v>
      </c>
      <c r="C30" s="80"/>
      <c r="D30" s="81"/>
      <c r="E30" s="50">
        <v>1.75</v>
      </c>
      <c r="F30" s="8" t="s">
        <v>35</v>
      </c>
      <c r="G30" s="2"/>
      <c r="H30" s="2"/>
      <c r="I30" s="2"/>
      <c r="J30" s="2"/>
    </row>
    <row r="31" spans="1:10" ht="15" customHeight="1" x14ac:dyDescent="0.25">
      <c r="A31" s="2"/>
      <c r="B31" s="79" t="s">
        <v>148</v>
      </c>
      <c r="C31" s="80"/>
      <c r="D31" s="81"/>
      <c r="E31" s="50">
        <v>0.5</v>
      </c>
      <c r="F31" s="8" t="s">
        <v>35</v>
      </c>
      <c r="G31" s="2"/>
      <c r="H31" s="2"/>
      <c r="I31" s="2"/>
      <c r="J31" s="2"/>
    </row>
    <row r="32" spans="1:10" ht="15" customHeight="1" x14ac:dyDescent="0.25">
      <c r="A32" s="2"/>
      <c r="B32" s="79" t="s">
        <v>36</v>
      </c>
      <c r="C32" s="80"/>
      <c r="D32" s="81"/>
      <c r="E32" s="50">
        <v>2</v>
      </c>
      <c r="F32" s="8" t="s">
        <v>35</v>
      </c>
      <c r="G32" s="2"/>
      <c r="H32" s="2"/>
      <c r="I32" s="2"/>
      <c r="J32" s="2"/>
    </row>
    <row r="33" spans="1:10" ht="15" customHeight="1" x14ac:dyDescent="0.25">
      <c r="A33" s="2"/>
      <c r="B33" s="79" t="s">
        <v>137</v>
      </c>
      <c r="C33" s="80"/>
      <c r="D33" s="81"/>
      <c r="E33" s="50">
        <v>1.77</v>
      </c>
      <c r="F33" s="8" t="s">
        <v>35</v>
      </c>
      <c r="G33" s="2"/>
      <c r="H33" s="2"/>
      <c r="I33" s="2"/>
      <c r="J33" s="2"/>
    </row>
  </sheetData>
  <mergeCells count="19">
    <mergeCell ref="B23:D23"/>
    <mergeCell ref="B3:H4"/>
    <mergeCell ref="B5:H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O23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4" width="9.140625" style="3"/>
    <col min="15" max="15" width="16.5703125" style="3" customWidth="1"/>
    <col min="16" max="16384" width="9.140625" style="3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O2" s="57"/>
    </row>
    <row r="3" spans="1:15" ht="15" customHeight="1" x14ac:dyDescent="0.25">
      <c r="A3" s="2"/>
      <c r="B3" s="94" t="s">
        <v>95</v>
      </c>
      <c r="C3" s="94"/>
      <c r="D3" s="94"/>
      <c r="E3" s="94"/>
      <c r="F3" s="94"/>
      <c r="G3" s="94"/>
      <c r="H3" s="94"/>
      <c r="I3" s="2"/>
      <c r="O3" s="57"/>
    </row>
    <row r="4" spans="1:15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  <c r="O4" s="57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O5" s="57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</row>
    <row r="8" spans="1:15" x14ac:dyDescent="0.25">
      <c r="A8" s="2"/>
      <c r="B8" s="91" t="s">
        <v>96</v>
      </c>
      <c r="C8" s="92"/>
      <c r="D8" s="92"/>
      <c r="E8" s="92"/>
      <c r="F8" s="92"/>
      <c r="G8" s="92"/>
      <c r="H8" s="93"/>
      <c r="I8" s="2"/>
      <c r="O8" s="57"/>
    </row>
    <row r="9" spans="1:15" x14ac:dyDescent="0.25">
      <c r="A9" s="2"/>
      <c r="B9" s="79" t="s">
        <v>71</v>
      </c>
      <c r="C9" s="80"/>
      <c r="D9" s="80"/>
      <c r="E9" s="80"/>
      <c r="F9" s="81"/>
      <c r="G9" s="21">
        <f>11175579.114433+134379+65271+229669</f>
        <v>11604898.114433</v>
      </c>
      <c r="H9" s="17" t="s">
        <v>4</v>
      </c>
      <c r="I9" s="2"/>
      <c r="O9" s="57"/>
    </row>
    <row r="10" spans="1:15" x14ac:dyDescent="0.25">
      <c r="A10" s="2"/>
      <c r="B10" s="79" t="s">
        <v>72</v>
      </c>
      <c r="C10" s="80"/>
      <c r="D10" s="80"/>
      <c r="E10" s="80"/>
      <c r="F10" s="81"/>
      <c r="G10" s="21">
        <f>13105099.5202035+203900+80730+169392</f>
        <v>13559121.520203499</v>
      </c>
      <c r="H10" s="17" t="s">
        <v>4</v>
      </c>
      <c r="I10" s="2"/>
      <c r="O10" s="57"/>
    </row>
    <row r="11" spans="1:15" x14ac:dyDescent="0.25">
      <c r="A11" s="2"/>
      <c r="B11" s="79" t="s">
        <v>89</v>
      </c>
      <c r="C11" s="80"/>
      <c r="D11" s="80"/>
      <c r="E11" s="80"/>
      <c r="F11" s="81"/>
      <c r="G11" s="21">
        <f>17249899.9012735+145589+101742+130139</f>
        <v>17627369.9012735</v>
      </c>
      <c r="H11" s="17" t="s">
        <v>4</v>
      </c>
      <c r="I11" s="2"/>
      <c r="O11" s="57"/>
    </row>
    <row r="12" spans="1:15" ht="17.25" customHeight="1" x14ac:dyDescent="0.25">
      <c r="A12" s="2"/>
      <c r="B12" s="88" t="s">
        <v>92</v>
      </c>
      <c r="C12" s="89"/>
      <c r="D12" s="89"/>
      <c r="E12" s="89"/>
      <c r="F12" s="90"/>
      <c r="G12" s="15">
        <f>SUM(G9:G11)</f>
        <v>42791389.535909995</v>
      </c>
      <c r="H12" s="16" t="s">
        <v>4</v>
      </c>
      <c r="I12" s="2"/>
    </row>
    <row r="13" spans="1:15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15" x14ac:dyDescent="0.25">
      <c r="A14" s="2"/>
      <c r="B14" s="19" t="s">
        <v>147</v>
      </c>
      <c r="C14" s="18"/>
      <c r="D14" s="18"/>
      <c r="E14" s="18"/>
      <c r="F14" s="18"/>
      <c r="G14" s="18"/>
      <c r="H14" s="18"/>
      <c r="I14" s="2"/>
      <c r="O14" s="57"/>
    </row>
    <row r="15" spans="1:15" x14ac:dyDescent="0.25">
      <c r="A15" s="2"/>
      <c r="B15" s="19" t="s">
        <v>87</v>
      </c>
      <c r="C15" s="18"/>
      <c r="D15" s="18"/>
      <c r="E15" s="18"/>
      <c r="F15" s="18"/>
      <c r="G15" s="18"/>
      <c r="H15" s="18"/>
      <c r="I15" s="2"/>
      <c r="O15" s="57"/>
    </row>
    <row r="16" spans="1:15" x14ac:dyDescent="0.25">
      <c r="A16" s="2"/>
      <c r="B16" s="19" t="s">
        <v>88</v>
      </c>
      <c r="C16" s="2"/>
      <c r="D16" s="2"/>
      <c r="E16" s="2"/>
      <c r="F16" s="2"/>
      <c r="G16" s="18"/>
      <c r="H16" s="2"/>
      <c r="I16" s="2"/>
      <c r="O16" s="57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O17" s="57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</row>
    <row r="20" spans="1:15" x14ac:dyDescent="0.25">
      <c r="O20" s="57"/>
    </row>
    <row r="21" spans="1:15" x14ac:dyDescent="0.25">
      <c r="O21" s="57"/>
    </row>
    <row r="22" spans="1:15" x14ac:dyDescent="0.25">
      <c r="O22" s="57"/>
    </row>
    <row r="23" spans="1:15" x14ac:dyDescent="0.25">
      <c r="O23" s="57"/>
    </row>
  </sheetData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topLeftCell="A2" zoomScaleNormal="100" workbookViewId="0">
      <selection activeCell="G19" sqref="G19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74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76</v>
      </c>
      <c r="C9" s="85"/>
      <c r="D9" s="86"/>
      <c r="E9" s="13" t="s">
        <v>75</v>
      </c>
      <c r="F9" s="13"/>
      <c r="G9" s="13" t="s">
        <v>90</v>
      </c>
      <c r="H9" s="13"/>
      <c r="I9" s="2"/>
    </row>
    <row r="10" spans="1:9" x14ac:dyDescent="0.25">
      <c r="A10" s="2"/>
      <c r="B10" s="96" t="s">
        <v>121</v>
      </c>
      <c r="C10" s="97"/>
      <c r="D10" s="97"/>
      <c r="E10" s="51">
        <v>222573.9926</v>
      </c>
      <c r="F10" s="17" t="s">
        <v>4</v>
      </c>
      <c r="G10" s="21">
        <v>214038</v>
      </c>
      <c r="H10" s="17" t="s">
        <v>4</v>
      </c>
      <c r="I10" s="2"/>
    </row>
    <row r="11" spans="1:9" x14ac:dyDescent="0.25">
      <c r="A11" s="2"/>
      <c r="B11" s="96" t="s">
        <v>122</v>
      </c>
      <c r="C11" s="97"/>
      <c r="D11" s="97"/>
      <c r="E11" s="51">
        <v>116566.3582</v>
      </c>
      <c r="F11" s="17" t="s">
        <v>4</v>
      </c>
      <c r="G11" s="21">
        <v>183087</v>
      </c>
      <c r="H11" s="17" t="s">
        <v>4</v>
      </c>
      <c r="I11" s="2"/>
    </row>
    <row r="12" spans="1:9" x14ac:dyDescent="0.25">
      <c r="A12" s="2"/>
      <c r="B12" s="96" t="s">
        <v>123</v>
      </c>
      <c r="C12" s="97"/>
      <c r="D12" s="97"/>
      <c r="E12" s="51">
        <v>1365289.1114000001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6" t="s">
        <v>124</v>
      </c>
      <c r="C13" s="97"/>
      <c r="D13" s="97"/>
      <c r="E13" s="51">
        <v>32399.4126</v>
      </c>
      <c r="F13" s="17" t="s">
        <v>4</v>
      </c>
      <c r="G13" s="21">
        <v>59178</v>
      </c>
      <c r="H13" s="17" t="s">
        <v>4</v>
      </c>
      <c r="I13" s="2"/>
    </row>
    <row r="14" spans="1:9" x14ac:dyDescent="0.25">
      <c r="A14" s="2"/>
      <c r="B14" s="96" t="s">
        <v>125</v>
      </c>
      <c r="C14" s="97"/>
      <c r="D14" s="97"/>
      <c r="E14" s="51">
        <f>15296744.6428+(143763)+(100849*0.9962)</f>
        <v>15540973.4166</v>
      </c>
      <c r="F14" s="17" t="s">
        <v>4</v>
      </c>
      <c r="G14" s="21">
        <f>14800353+143763+128507</f>
        <v>15072623</v>
      </c>
      <c r="H14" s="17" t="s">
        <v>4</v>
      </c>
      <c r="I14" s="2"/>
    </row>
    <row r="15" spans="1:9" x14ac:dyDescent="0.25">
      <c r="A15" s="2"/>
      <c r="B15" s="96" t="s">
        <v>126</v>
      </c>
      <c r="C15" s="97"/>
      <c r="D15" s="97"/>
      <c r="E15" s="51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6" t="s">
        <v>127</v>
      </c>
      <c r="C16" s="97"/>
      <c r="D16" s="97"/>
      <c r="E16" s="51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6" t="s">
        <v>128</v>
      </c>
      <c r="C17" s="97"/>
      <c r="D17" s="97"/>
      <c r="E17" s="51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85</v>
      </c>
      <c r="C18" s="92"/>
      <c r="D18" s="92"/>
      <c r="E18" s="92"/>
      <c r="F18" s="93"/>
      <c r="G18" s="15">
        <f>SUM(G10:G17)-SUM(E10:E17)</f>
        <v>-1748876.2914000005</v>
      </c>
      <c r="H18" s="16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G18*(1+'Fane 2. Overblik ØR18'!E30/100)</f>
        <v>-1779481.6264995006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ht="52.5" customHeight="1" x14ac:dyDescent="0.25">
      <c r="A21" s="2"/>
      <c r="B21" s="95" t="s">
        <v>149</v>
      </c>
      <c r="C21" s="95"/>
      <c r="D21" s="95"/>
      <c r="E21" s="95"/>
      <c r="F21" s="95"/>
      <c r="G21" s="95"/>
      <c r="H21" s="95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mergeCells count="14">
    <mergeCell ref="B21:H21"/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106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-25910177</v>
      </c>
      <c r="H9" s="17" t="s">
        <v>4</v>
      </c>
      <c r="I9" s="2"/>
    </row>
    <row r="10" spans="1:9" x14ac:dyDescent="0.25">
      <c r="A10" s="2"/>
      <c r="B10" s="79" t="s">
        <v>80</v>
      </c>
      <c r="C10" s="80"/>
      <c r="D10" s="80"/>
      <c r="E10" s="80"/>
      <c r="F10" s="81"/>
      <c r="G10" s="21">
        <v>-16881702.486772485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2">
        <f>G9-G10</f>
        <v>-9028474.5132275149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81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-3009491.5044091716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107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52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x14ac:dyDescent="0.25">
      <c r="A10" s="2"/>
      <c r="B10" s="42" t="s">
        <v>113</v>
      </c>
      <c r="C10" s="28">
        <v>2016</v>
      </c>
      <c r="D10" s="22">
        <v>75</v>
      </c>
      <c r="E10" s="21">
        <v>1646635</v>
      </c>
      <c r="F10" s="9">
        <f>E10/D10</f>
        <v>21955.133333333335</v>
      </c>
      <c r="G10" s="17" t="s">
        <v>4</v>
      </c>
      <c r="H10" s="2"/>
    </row>
    <row r="11" spans="1:8" x14ac:dyDescent="0.25">
      <c r="A11" s="2"/>
      <c r="B11" s="42" t="s">
        <v>114</v>
      </c>
      <c r="C11" s="28">
        <v>2016</v>
      </c>
      <c r="D11" s="22">
        <v>75</v>
      </c>
      <c r="E11" s="21">
        <v>2388779</v>
      </c>
      <c r="F11" s="9">
        <f t="shared" ref="F11:F17" si="0">E11/D11</f>
        <v>31850.386666666665</v>
      </c>
      <c r="G11" s="17" t="s">
        <v>4</v>
      </c>
      <c r="H11" s="2"/>
    </row>
    <row r="12" spans="1:8" ht="26.25" x14ac:dyDescent="0.25">
      <c r="A12" s="2"/>
      <c r="B12" s="42" t="s">
        <v>115</v>
      </c>
      <c r="C12" s="28">
        <v>2016</v>
      </c>
      <c r="D12" s="22">
        <v>75</v>
      </c>
      <c r="E12" s="21">
        <v>2197347</v>
      </c>
      <c r="F12" s="9">
        <f t="shared" si="0"/>
        <v>29297.96</v>
      </c>
      <c r="G12" s="17" t="s">
        <v>4</v>
      </c>
      <c r="H12" s="2"/>
    </row>
    <row r="13" spans="1:8" x14ac:dyDescent="0.25">
      <c r="A13" s="2"/>
      <c r="B13" s="42" t="s">
        <v>116</v>
      </c>
      <c r="C13" s="28">
        <v>2016</v>
      </c>
      <c r="D13" s="22">
        <v>75</v>
      </c>
      <c r="E13" s="21">
        <v>1391376</v>
      </c>
      <c r="F13" s="9">
        <f t="shared" si="0"/>
        <v>18551.68</v>
      </c>
      <c r="G13" s="17" t="s">
        <v>4</v>
      </c>
      <c r="H13" s="2"/>
    </row>
    <row r="14" spans="1:8" x14ac:dyDescent="0.25">
      <c r="A14" s="2"/>
      <c r="B14" s="42" t="s">
        <v>117</v>
      </c>
      <c r="C14" s="28">
        <v>2016</v>
      </c>
      <c r="D14" s="22">
        <v>10</v>
      </c>
      <c r="E14" s="21">
        <v>1161838</v>
      </c>
      <c r="F14" s="9">
        <f t="shared" si="0"/>
        <v>116183.8</v>
      </c>
      <c r="G14" s="17" t="s">
        <v>4</v>
      </c>
      <c r="H14" s="2"/>
    </row>
    <row r="15" spans="1:8" ht="26.25" x14ac:dyDescent="0.25">
      <c r="A15" s="2"/>
      <c r="B15" s="42" t="s">
        <v>118</v>
      </c>
      <c r="C15" s="28">
        <v>2016</v>
      </c>
      <c r="D15" s="22">
        <v>25</v>
      </c>
      <c r="E15" s="21">
        <v>457276</v>
      </c>
      <c r="F15" s="9">
        <f t="shared" si="0"/>
        <v>18291.04</v>
      </c>
      <c r="G15" s="17" t="s">
        <v>4</v>
      </c>
      <c r="H15" s="2"/>
    </row>
    <row r="16" spans="1:8" ht="26.25" x14ac:dyDescent="0.25">
      <c r="A16" s="2"/>
      <c r="B16" s="42" t="s">
        <v>119</v>
      </c>
      <c r="C16" s="28">
        <v>2016</v>
      </c>
      <c r="D16" s="22">
        <v>30</v>
      </c>
      <c r="E16" s="21">
        <v>16251</v>
      </c>
      <c r="F16" s="9">
        <f t="shared" si="0"/>
        <v>541.70000000000005</v>
      </c>
      <c r="G16" s="17" t="s">
        <v>4</v>
      </c>
      <c r="H16" s="2"/>
    </row>
    <row r="17" spans="1:8" x14ac:dyDescent="0.25">
      <c r="A17" s="2"/>
      <c r="B17" s="42" t="s">
        <v>120</v>
      </c>
      <c r="C17" s="28">
        <v>2016</v>
      </c>
      <c r="D17" s="22">
        <v>8</v>
      </c>
      <c r="E17" s="21">
        <v>63719</v>
      </c>
      <c r="F17" s="9">
        <f t="shared" si="0"/>
        <v>7964.875</v>
      </c>
      <c r="G17" s="17" t="s">
        <v>4</v>
      </c>
      <c r="H17" s="2"/>
    </row>
    <row r="18" spans="1:8" x14ac:dyDescent="0.25">
      <c r="A18" s="2"/>
      <c r="B18" s="91" t="s">
        <v>53</v>
      </c>
      <c r="C18" s="92"/>
      <c r="D18" s="92"/>
      <c r="E18" s="93"/>
      <c r="F18" s="15">
        <f>SUM(F10:F17)</f>
        <v>244636.57500000004</v>
      </c>
      <c r="G18" s="16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54</v>
      </c>
      <c r="C9" s="80"/>
      <c r="D9" s="80"/>
      <c r="E9" s="80"/>
      <c r="F9" s="81"/>
      <c r="G9" s="21">
        <v>15431656</v>
      </c>
      <c r="H9" s="17" t="s">
        <v>4</v>
      </c>
      <c r="I9" s="2"/>
    </row>
    <row r="10" spans="1:9" x14ac:dyDescent="0.25">
      <c r="A10" s="2"/>
      <c r="B10" s="79" t="s">
        <v>55</v>
      </c>
      <c r="C10" s="80"/>
      <c r="D10" s="80"/>
      <c r="E10" s="80"/>
      <c r="F10" s="81"/>
      <c r="G10" s="21">
        <v>16494900</v>
      </c>
      <c r="H10" s="17" t="s">
        <v>4</v>
      </c>
      <c r="I10" s="2"/>
    </row>
    <row r="11" spans="1:9" x14ac:dyDescent="0.25">
      <c r="A11" s="2"/>
      <c r="B11" s="91" t="s">
        <v>139</v>
      </c>
      <c r="C11" s="92"/>
      <c r="D11" s="92"/>
      <c r="E11" s="92"/>
      <c r="F11" s="93"/>
      <c r="G11" s="15">
        <f>G9-G10</f>
        <v>-1063244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56</v>
      </c>
      <c r="C15" s="80"/>
      <c r="D15" s="80"/>
      <c r="E15" s="80"/>
      <c r="F15" s="81"/>
      <c r="G15" s="21">
        <v>-90723</v>
      </c>
      <c r="H15" s="17" t="s">
        <v>4</v>
      </c>
      <c r="I15" s="2"/>
    </row>
    <row r="16" spans="1:9" x14ac:dyDescent="0.25">
      <c r="A16" s="2"/>
      <c r="B16" s="79" t="s">
        <v>57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140</v>
      </c>
      <c r="C17" s="92"/>
      <c r="D17" s="92"/>
      <c r="E17" s="92"/>
      <c r="F17" s="93"/>
      <c r="G17" s="15">
        <f>G15-G16</f>
        <v>-90723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58</v>
      </c>
      <c r="C21" s="80"/>
      <c r="D21" s="80"/>
      <c r="E21" s="80"/>
      <c r="F21" s="81"/>
      <c r="G21" s="21">
        <v>296302</v>
      </c>
      <c r="H21" s="17" t="s">
        <v>4</v>
      </c>
      <c r="I21" s="2"/>
    </row>
    <row r="22" spans="1:9" x14ac:dyDescent="0.25">
      <c r="A22" s="2"/>
      <c r="B22" s="79" t="s">
        <v>59</v>
      </c>
      <c r="C22" s="80"/>
      <c r="D22" s="80"/>
      <c r="E22" s="80"/>
      <c r="F22" s="81"/>
      <c r="G22" s="21">
        <v>360000</v>
      </c>
      <c r="H22" s="17" t="s">
        <v>4</v>
      </c>
      <c r="I22" s="2"/>
    </row>
    <row r="23" spans="1:9" x14ac:dyDescent="0.25">
      <c r="A23" s="2"/>
      <c r="B23" s="91" t="s">
        <v>141</v>
      </c>
      <c r="C23" s="92"/>
      <c r="D23" s="92"/>
      <c r="E23" s="92"/>
      <c r="F23" s="93"/>
      <c r="G23" s="15">
        <f>G21-G22</f>
        <v>-63698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60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61</v>
      </c>
      <c r="C27" s="80"/>
      <c r="D27" s="80"/>
      <c r="E27" s="80"/>
      <c r="F27" s="81"/>
      <c r="G27" s="9">
        <f>'Fane 6. Gen. inv. i 2016'!F18</f>
        <v>244636.57500000004</v>
      </c>
      <c r="H27" s="17" t="s">
        <v>4</v>
      </c>
      <c r="I27" s="2"/>
    </row>
    <row r="28" spans="1:9" x14ac:dyDescent="0.25">
      <c r="A28" s="2"/>
      <c r="B28" s="79" t="s">
        <v>62</v>
      </c>
      <c r="C28" s="80"/>
      <c r="D28" s="80"/>
      <c r="E28" s="80"/>
      <c r="F28" s="81"/>
      <c r="G28" s="21">
        <v>440583.33333333337</v>
      </c>
      <c r="H28" s="17" t="s">
        <v>4</v>
      </c>
      <c r="I28" s="2"/>
    </row>
    <row r="29" spans="1:9" x14ac:dyDescent="0.25">
      <c r="A29" s="2"/>
      <c r="B29" s="91" t="s">
        <v>60</v>
      </c>
      <c r="C29" s="92"/>
      <c r="D29" s="92"/>
      <c r="E29" s="92"/>
      <c r="F29" s="93"/>
      <c r="G29" s="15">
        <f>G27-G28</f>
        <v>-195946.75833333333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4" zoomScaleNormal="100" workbookViewId="0"/>
  </sheetViews>
  <sheetFormatPr defaultColWidth="9.140625"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64</v>
      </c>
      <c r="C9" s="106"/>
      <c r="D9" s="106"/>
      <c r="E9" s="106"/>
      <c r="F9" s="107"/>
      <c r="G9" s="20">
        <v>36417085.567812927</v>
      </c>
      <c r="H9" s="25" t="s">
        <v>4</v>
      </c>
      <c r="I9" s="2"/>
    </row>
    <row r="10" spans="1:9" x14ac:dyDescent="0.25">
      <c r="A10" s="2"/>
      <c r="B10" s="91" t="s">
        <v>65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7675443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66</v>
      </c>
      <c r="C12" s="80"/>
      <c r="D12" s="81"/>
      <c r="E12" s="21">
        <v>1273955.9783333333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67</v>
      </c>
      <c r="C13" s="80"/>
      <c r="D13" s="81"/>
      <c r="E13" s="21">
        <v>-154435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68</v>
      </c>
      <c r="C14" s="80"/>
      <c r="D14" s="81"/>
      <c r="E14" s="21">
        <v>731320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9526283.9783333335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587471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587471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-9023127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-1106586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-10129713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-15958.021666666493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69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69</v>
      </c>
      <c r="C30" s="106"/>
      <c r="D30" s="107"/>
      <c r="E30" s="20">
        <v>3375646.5678129271</v>
      </c>
      <c r="F30" s="25" t="s">
        <v>4</v>
      </c>
      <c r="G30" s="12">
        <f>-$E$30</f>
        <v>-3375646.5678129271</v>
      </c>
      <c r="H30" s="25" t="s">
        <v>4</v>
      </c>
      <c r="I30" s="2"/>
    </row>
    <row r="31" spans="1:9" x14ac:dyDescent="0.25">
      <c r="A31" s="2"/>
      <c r="B31" s="108" t="s">
        <v>45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46</v>
      </c>
      <c r="C32" s="103"/>
      <c r="D32" s="104"/>
      <c r="E32" s="21">
        <v>32161818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879621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33041439</v>
      </c>
      <c r="F35" s="25" t="s">
        <v>4</v>
      </c>
      <c r="G35" s="12">
        <f>-E35</f>
        <v>-33041439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110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77</v>
      </c>
      <c r="C9" s="86"/>
      <c r="D9" s="101" t="s">
        <v>42</v>
      </c>
      <c r="E9" s="101"/>
      <c r="F9" s="101" t="s">
        <v>82</v>
      </c>
      <c r="G9" s="101"/>
      <c r="H9" s="2"/>
    </row>
    <row r="10" spans="1:8" x14ac:dyDescent="0.25">
      <c r="A10" s="2"/>
      <c r="B10" s="109" t="s">
        <v>134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ØR18'!E30/100)</f>
        <v>0</v>
      </c>
      <c r="E12" s="16" t="s">
        <v>4</v>
      </c>
      <c r="F12" s="15">
        <f>F11*(1+'Fane 2. Overblik ØR18'!E30/100)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129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146</v>
      </c>
      <c r="C16" s="85"/>
      <c r="D16" s="85"/>
      <c r="E16" s="86"/>
      <c r="F16" s="101" t="s">
        <v>130</v>
      </c>
      <c r="G16" s="101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2018-04-18T12:47:35Z</dcterms:modified>
</cp:coreProperties>
</file>