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6745" yWindow="15" windowWidth="20640" windowHeight="11475" tabRatio="916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17" i="7" l="1"/>
  <c r="G15" i="7"/>
  <c r="G16" i="7"/>
  <c r="G22" i="7" l="1"/>
  <c r="G23" i="7"/>
  <c r="G21" i="7"/>
  <c r="G18" i="7"/>
  <c r="G12" i="7"/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0" i="11"/>
  <c r="F13" i="11" s="1"/>
  <c r="G29" i="12" s="1"/>
  <c r="G13" i="10"/>
  <c r="E14" i="2" s="1"/>
  <c r="G14" i="2" s="1"/>
  <c r="G24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2" i="4" l="1"/>
  <c r="E9" i="5" s="1"/>
  <c r="E11" i="4"/>
  <c r="E13" i="4" l="1"/>
  <c r="G13" i="4" s="1"/>
  <c r="G16" i="4" s="1"/>
  <c r="E12" i="5"/>
  <c r="E9" i="6" s="1"/>
  <c r="E11" i="5"/>
  <c r="E13" i="5" l="1"/>
  <c r="G13" i="5" s="1"/>
  <c r="G16" i="5" s="1"/>
  <c r="E12" i="6"/>
  <c r="E11" i="6"/>
  <c r="E13" i="6" l="1"/>
  <c r="G13" i="6" s="1"/>
  <c r="G16" i="6" s="1"/>
</calcChain>
</file>

<file path=xl/sharedStrings.xml><?xml version="1.0" encoding="utf-8"?>
<sst xmlns="http://schemas.openxmlformats.org/spreadsheetml/2006/main" count="267" uniqueCount="125">
  <si>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</si>
  <si>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</si>
  <si>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</si>
  <si>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</si>
  <si>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</si>
  <si>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</si>
  <si>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</si>
  <si>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</si>
  <si>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</si>
  <si>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</si>
  <si>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</si>
  <si>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</si>
  <si>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</si>
  <si>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</si>
  <si>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</si>
  <si>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</si>
  <si>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</si>
  <si>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</si>
  <si>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</si>
  <si>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</si>
  <si>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</si>
  <si>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</si>
  <si>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</si>
  <si>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</si>
  <si>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</si>
  <si>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</si>
  <si>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</si>
  <si>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</si>
  <si>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</si>
  <si>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</si>
  <si>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</si>
  <si>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</si>
  <si>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</si>
  <si>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</si>
  <si>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</si>
  <si>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</si>
  <si>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</si>
  <si>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</si>
  <si>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</si>
  <si>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</si>
  <si>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</si>
  <si>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</si>
  <si>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</si>
  <si>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</si>
  <si>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</si>
  <si>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</si>
  <si>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</si>
  <si>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</si>
  <si>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</si>
  <si>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</si>
  <si>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</si>
  <si>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</si>
  <si>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</si>
  <si>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</si>
  <si>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</si>
  <si>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</si>
  <si>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</si>
  <si>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</si>
  <si>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</si>
  <si>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</si>
  <si>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</si>
  <si>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</si>
  <si>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</si>
  <si>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</si>
  <si>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</si>
  <si>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</si>
  <si>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</si>
  <si>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</si>
  <si>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</si>
  <si>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</si>
  <si>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</si>
  <si>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</si>
  <si>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</si>
  <si>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</si>
  <si>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</si>
  <si>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</si>
  <si>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</si>
  <si>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</si>
  <si>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</si>
  <si>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</si>
  <si>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</si>
  <si>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</si>
  <si>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</si>
  <si>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</si>
  <si>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</si>
  <si>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</si>
  <si>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</si>
  <si>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</si>
  <si>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</si>
  <si>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</si>
  <si>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</si>
  <si>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</si>
  <si>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</si>
  <si>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</si>
  <si>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</si>
  <si>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</si>
  <si>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</si>
  <si>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</si>
  <si>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</si>
  <si>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</si>
  <si>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</si>
  <si>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</si>
  <si>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</si>
  <si>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</si>
  <si>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</si>
  <si>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</si>
  <si>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</si>
  <si>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</si>
  <si>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</si>
  <si>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Afregningsmålere, elektroniske ≤ Ø 110mm (Qn 10)</t>
  </si>
  <si>
    <t>Pumpestation (inkl. evt. hydrofor)/trykforøger, Mek./EL</t>
  </si>
  <si>
    <t>Ventiler på Ø 50mm &lt; Ledningsnet ≤ Ø110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</si>
  <si>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</si>
  <si>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</si>
  <si>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</si>
  <si>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</si>
  <si>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</si>
  <si>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</si>
  <si>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</si>
  <si>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</si>
  <si>
    <t xml:space="preserve">Udby Vandværk </t>
  </si>
  <si>
    <t xml:space="preserve">Grundlag efter fusion </t>
  </si>
  <si>
    <t xml:space="preserve">Ørslev Vandværk </t>
  </si>
  <si>
    <t>Beregningen af de enkelte komponenter i grundlaget for Ørslev Vanvdærk fremgår af bilag B.</t>
  </si>
  <si>
    <t>Beregningen af de enkelte komponenter i grundlaget for Udby Vanvdærk fremgår af bilag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</si>
</sst>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0" fillId="0" borderId="0" xfId="0"/>
    <xf numFmtId="0" fontId="0" fillId="2" borderId="0" xfId="0" applyFill="1"/>
    <xf numFmtId="0" fontId="8" fillId="10" borderId="1" xfId="0" applyFont="1" applyFill="1" applyBorder="1"/>
    <xf numFmtId="0" fontId="7" fillId="3" borderId="1" xfId="0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>
      <selection activeCell="D8" sqref="D8:G8"/>
    </sheetView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50" t="s">
        <v>11</v>
      </c>
      <c r="E6" s="50"/>
      <c r="F6" s="50"/>
      <c r="G6" s="50"/>
      <c r="H6" s="4"/>
      <c r="I6" s="1"/>
    </row>
    <row r="7" spans="1:9" ht="15" customHeight="1" x14ac:dyDescent="0.25">
      <c r="A7" s="1"/>
      <c r="B7" s="1"/>
      <c r="C7" s="4"/>
      <c r="D7" s="50"/>
      <c r="E7" s="50"/>
      <c r="F7" s="50"/>
      <c r="G7" s="50"/>
      <c r="H7" s="4"/>
      <c r="I7" s="1"/>
    </row>
    <row r="8" spans="1:9" ht="15.75" x14ac:dyDescent="0.25">
      <c r="A8" s="1"/>
      <c r="B8" s="1"/>
      <c r="C8" s="5"/>
      <c r="D8" s="58" t="s">
        <v>108</v>
      </c>
      <c r="E8" s="58"/>
      <c r="F8" s="58"/>
      <c r="G8" s="58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7" t="s">
        <v>12</v>
      </c>
      <c r="E11" s="57"/>
      <c r="F11" s="57"/>
      <c r="G11" s="57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71" t="s">
        <v>26</v>
      </c>
      <c r="E13" s="72"/>
      <c r="F13" s="72"/>
      <c r="G13" s="73"/>
      <c r="H13" s="1"/>
      <c r="I13" s="1"/>
    </row>
    <row r="14" spans="1:9" x14ac:dyDescent="0.25">
      <c r="A14" s="1"/>
      <c r="B14" s="1"/>
      <c r="C14" s="3" t="s">
        <v>14</v>
      </c>
      <c r="D14" s="59" t="s">
        <v>23</v>
      </c>
      <c r="E14" s="60"/>
      <c r="F14" s="60"/>
      <c r="G14" s="61"/>
      <c r="H14" s="1"/>
      <c r="I14" s="1"/>
    </row>
    <row r="15" spans="1:9" x14ac:dyDescent="0.25">
      <c r="A15" s="1"/>
      <c r="B15" s="1"/>
      <c r="C15" s="3" t="s">
        <v>15</v>
      </c>
      <c r="D15" s="59" t="s">
        <v>24</v>
      </c>
      <c r="E15" s="60"/>
      <c r="F15" s="60"/>
      <c r="G15" s="61"/>
      <c r="H15" s="1"/>
      <c r="I15" s="1"/>
    </row>
    <row r="16" spans="1:9" x14ac:dyDescent="0.25">
      <c r="A16" s="1"/>
      <c r="B16" s="1"/>
      <c r="C16" s="3" t="s">
        <v>16</v>
      </c>
      <c r="D16" s="59" t="s">
        <v>25</v>
      </c>
      <c r="E16" s="60"/>
      <c r="F16" s="60"/>
      <c r="G16" s="61"/>
      <c r="H16" s="1"/>
      <c r="I16" s="1"/>
    </row>
    <row r="17" spans="1:9" x14ac:dyDescent="0.25">
      <c r="A17" s="1"/>
      <c r="B17" s="1"/>
      <c r="C17" s="3" t="s">
        <v>17</v>
      </c>
      <c r="D17" s="62" t="s">
        <v>27</v>
      </c>
      <c r="E17" s="63"/>
      <c r="F17" s="63"/>
      <c r="G17" s="64"/>
      <c r="H17" s="1"/>
      <c r="I17" s="1"/>
    </row>
    <row r="18" spans="1:9" x14ac:dyDescent="0.25">
      <c r="A18" s="1"/>
      <c r="B18" s="1"/>
      <c r="C18" s="3" t="s">
        <v>18</v>
      </c>
      <c r="D18" s="65" t="s">
        <v>28</v>
      </c>
      <c r="E18" s="66"/>
      <c r="F18" s="66"/>
      <c r="G18" s="67"/>
      <c r="H18" s="1"/>
      <c r="I18" s="1"/>
    </row>
    <row r="19" spans="1:9" x14ac:dyDescent="0.25">
      <c r="A19" s="1"/>
      <c r="B19" s="1"/>
      <c r="C19" s="3" t="s">
        <v>19</v>
      </c>
      <c r="D19" s="68" t="s">
        <v>32</v>
      </c>
      <c r="E19" s="69"/>
      <c r="F19" s="69"/>
      <c r="G19" s="70"/>
      <c r="H19" s="1"/>
      <c r="I19" s="1"/>
    </row>
    <row r="20" spans="1:9" x14ac:dyDescent="0.25">
      <c r="A20" s="1"/>
      <c r="B20" s="1"/>
      <c r="C20" s="3" t="s">
        <v>20</v>
      </c>
      <c r="D20" s="51" t="s">
        <v>6</v>
      </c>
      <c r="E20" s="52"/>
      <c r="F20" s="52"/>
      <c r="G20" s="53"/>
      <c r="H20" s="1"/>
      <c r="I20" s="1"/>
    </row>
    <row r="21" spans="1:9" x14ac:dyDescent="0.25">
      <c r="A21" s="1"/>
      <c r="B21" s="1"/>
      <c r="C21" s="3" t="s">
        <v>21</v>
      </c>
      <c r="D21" s="51" t="s">
        <v>29</v>
      </c>
      <c r="E21" s="52"/>
      <c r="F21" s="52"/>
      <c r="G21" s="53"/>
      <c r="H21" s="1"/>
      <c r="I21" s="1"/>
    </row>
    <row r="22" spans="1:9" x14ac:dyDescent="0.25">
      <c r="A22" s="1"/>
      <c r="B22" s="1"/>
      <c r="C22" s="3" t="s">
        <v>22</v>
      </c>
      <c r="D22" s="54" t="s">
        <v>30</v>
      </c>
      <c r="E22" s="55"/>
      <c r="F22" s="55"/>
      <c r="G22" s="56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117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93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84" t="s">
        <v>81</v>
      </c>
      <c r="C9" s="85"/>
      <c r="D9" s="85"/>
      <c r="E9" s="85"/>
      <c r="F9" s="86"/>
      <c r="G9" s="35">
        <v>2502758</v>
      </c>
      <c r="H9" s="10" t="s">
        <v>4</v>
      </c>
      <c r="I9" s="1"/>
    </row>
    <row r="10" spans="1:9" x14ac:dyDescent="0.25">
      <c r="A10" s="1"/>
      <c r="B10" s="84" t="s">
        <v>82</v>
      </c>
      <c r="C10" s="85"/>
      <c r="D10" s="85"/>
      <c r="E10" s="85"/>
      <c r="F10" s="86"/>
      <c r="G10" s="35">
        <v>1888900</v>
      </c>
      <c r="H10" s="10" t="s">
        <v>4</v>
      </c>
      <c r="I10" s="1"/>
    </row>
    <row r="11" spans="1:9" x14ac:dyDescent="0.25">
      <c r="A11" s="1"/>
      <c r="B11" s="74" t="s">
        <v>83</v>
      </c>
      <c r="C11" s="75"/>
      <c r="D11" s="75"/>
      <c r="E11" s="75"/>
      <c r="F11" s="76"/>
      <c r="G11" s="33">
        <f>G9-G10</f>
        <v>613858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84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84" t="s">
        <v>85</v>
      </c>
      <c r="C15" s="85"/>
      <c r="D15" s="85"/>
      <c r="E15" s="85"/>
      <c r="F15" s="86"/>
      <c r="G15" s="35">
        <v>-3806</v>
      </c>
      <c r="H15" s="10" t="s">
        <v>4</v>
      </c>
      <c r="I15" s="1"/>
    </row>
    <row r="16" spans="1:9" x14ac:dyDescent="0.25">
      <c r="A16" s="1"/>
      <c r="B16" s="84" t="s">
        <v>86</v>
      </c>
      <c r="C16" s="85"/>
      <c r="D16" s="85"/>
      <c r="E16" s="85"/>
      <c r="F16" s="86"/>
      <c r="G16" s="35">
        <v>-5000</v>
      </c>
      <c r="H16" s="10" t="s">
        <v>4</v>
      </c>
      <c r="I16" s="1"/>
    </row>
    <row r="17" spans="1:9" x14ac:dyDescent="0.25">
      <c r="A17" s="1"/>
      <c r="B17" s="74" t="s">
        <v>87</v>
      </c>
      <c r="C17" s="75"/>
      <c r="D17" s="75"/>
      <c r="E17" s="75"/>
      <c r="F17" s="76"/>
      <c r="G17" s="33">
        <f>G15-G16</f>
        <v>1194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94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84" t="s">
        <v>95</v>
      </c>
      <c r="C21" s="85"/>
      <c r="D21" s="85"/>
      <c r="E21" s="85"/>
      <c r="F21" s="86"/>
      <c r="G21" s="35">
        <v>0</v>
      </c>
      <c r="H21" s="10" t="s">
        <v>4</v>
      </c>
      <c r="I21" s="1"/>
    </row>
    <row r="22" spans="1:9" x14ac:dyDescent="0.25">
      <c r="A22" s="1"/>
      <c r="B22" s="84" t="s">
        <v>97</v>
      </c>
      <c r="C22" s="85"/>
      <c r="D22" s="85"/>
      <c r="E22" s="85"/>
      <c r="F22" s="86"/>
      <c r="G22" s="35">
        <v>0</v>
      </c>
      <c r="H22" s="10" t="s">
        <v>4</v>
      </c>
      <c r="I22" s="1"/>
    </row>
    <row r="23" spans="1:9" x14ac:dyDescent="0.25">
      <c r="A23" s="1"/>
      <c r="B23" s="74" t="s">
        <v>96</v>
      </c>
      <c r="C23" s="75"/>
      <c r="D23" s="75"/>
      <c r="E23" s="75"/>
      <c r="F23" s="76"/>
      <c r="G23" s="33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88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84" t="s">
        <v>89</v>
      </c>
      <c r="C27" s="85"/>
      <c r="D27" s="85"/>
      <c r="E27" s="85"/>
      <c r="F27" s="86"/>
      <c r="G27" s="35">
        <v>0</v>
      </c>
      <c r="H27" s="10" t="s">
        <v>4</v>
      </c>
      <c r="I27" s="1"/>
    </row>
    <row r="28" spans="1:9" x14ac:dyDescent="0.25">
      <c r="A28" s="1"/>
      <c r="B28" s="84" t="s">
        <v>90</v>
      </c>
      <c r="C28" s="85"/>
      <c r="D28" s="85"/>
      <c r="E28" s="85"/>
      <c r="F28" s="86"/>
      <c r="G28" s="35">
        <v>52659</v>
      </c>
      <c r="H28" s="10" t="s">
        <v>4</v>
      </c>
      <c r="I28" s="1"/>
    </row>
    <row r="29" spans="1:9" x14ac:dyDescent="0.25">
      <c r="A29" s="1"/>
      <c r="B29" s="84" t="s">
        <v>91</v>
      </c>
      <c r="C29" s="85"/>
      <c r="D29" s="85"/>
      <c r="E29" s="85"/>
      <c r="F29" s="86"/>
      <c r="G29" s="20">
        <f>'Fane 6. Gen. inv. i 2015'!F13</f>
        <v>35839.846666666665</v>
      </c>
      <c r="H29" s="10" t="s">
        <v>4</v>
      </c>
      <c r="I29" s="1"/>
    </row>
    <row r="30" spans="1:9" x14ac:dyDescent="0.25">
      <c r="A30" s="1"/>
      <c r="B30" s="74" t="s">
        <v>88</v>
      </c>
      <c r="C30" s="75"/>
      <c r="D30" s="75"/>
      <c r="E30" s="75"/>
      <c r="F30" s="76"/>
      <c r="G30" s="33">
        <f>G29-G27+G29-G28</f>
        <v>19020.693333333329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118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49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88" t="s">
        <v>51</v>
      </c>
      <c r="C9" s="89"/>
      <c r="D9" s="89"/>
      <c r="E9" s="89"/>
      <c r="F9" s="90"/>
      <c r="G9" s="36">
        <v>2399221</v>
      </c>
      <c r="H9" s="16" t="s">
        <v>4</v>
      </c>
      <c r="I9" s="1"/>
    </row>
    <row r="10" spans="1:9" x14ac:dyDescent="0.25">
      <c r="A10" s="1"/>
      <c r="B10" s="74" t="s">
        <v>52</v>
      </c>
      <c r="C10" s="75"/>
      <c r="D10" s="75"/>
      <c r="E10" s="75"/>
      <c r="F10" s="75"/>
      <c r="G10" s="75"/>
      <c r="H10" s="76"/>
      <c r="I10" s="1"/>
    </row>
    <row r="11" spans="1:9" x14ac:dyDescent="0.25">
      <c r="A11" s="1"/>
      <c r="B11" s="84" t="s">
        <v>53</v>
      </c>
      <c r="C11" s="85"/>
      <c r="D11" s="86"/>
      <c r="E11" s="35">
        <v>534158</v>
      </c>
      <c r="F11" s="10" t="s">
        <v>4</v>
      </c>
      <c r="G11" s="19"/>
      <c r="H11" s="24"/>
      <c r="I11" s="1"/>
    </row>
    <row r="12" spans="1:9" x14ac:dyDescent="0.25">
      <c r="A12" s="1"/>
      <c r="B12" s="84" t="s">
        <v>54</v>
      </c>
      <c r="C12" s="85"/>
      <c r="D12" s="86"/>
      <c r="E12" s="35">
        <v>58461</v>
      </c>
      <c r="F12" s="10" t="s">
        <v>4</v>
      </c>
      <c r="G12" s="13"/>
      <c r="H12" s="25"/>
      <c r="I12" s="1"/>
    </row>
    <row r="13" spans="1:9" x14ac:dyDescent="0.25">
      <c r="A13" s="1"/>
      <c r="B13" s="84" t="s">
        <v>55</v>
      </c>
      <c r="C13" s="85"/>
      <c r="D13" s="86"/>
      <c r="E13" s="35">
        <v>-27555</v>
      </c>
      <c r="F13" s="10" t="s">
        <v>4</v>
      </c>
      <c r="G13" s="13"/>
      <c r="H13" s="25"/>
      <c r="I13" s="1"/>
    </row>
    <row r="14" spans="1:9" x14ac:dyDescent="0.25">
      <c r="A14" s="1"/>
      <c r="B14" s="84" t="s">
        <v>56</v>
      </c>
      <c r="C14" s="85"/>
      <c r="D14" s="86"/>
      <c r="E14" s="35">
        <v>50637</v>
      </c>
      <c r="F14" s="10" t="s">
        <v>4</v>
      </c>
      <c r="G14" s="13"/>
      <c r="H14" s="25"/>
      <c r="I14" s="1"/>
    </row>
    <row r="15" spans="1:9" x14ac:dyDescent="0.25">
      <c r="A15" s="1"/>
      <c r="B15" s="88" t="s">
        <v>57</v>
      </c>
      <c r="C15" s="89"/>
      <c r="D15" s="90"/>
      <c r="E15" s="32">
        <f>SUM(E11:E14)</f>
        <v>615701</v>
      </c>
      <c r="F15" s="16" t="s">
        <v>4</v>
      </c>
      <c r="G15" s="13"/>
      <c r="H15" s="25"/>
      <c r="I15" s="1"/>
    </row>
    <row r="16" spans="1:9" x14ac:dyDescent="0.25">
      <c r="A16" s="1"/>
      <c r="B16" s="84" t="s">
        <v>58</v>
      </c>
      <c r="C16" s="85"/>
      <c r="D16" s="86"/>
      <c r="E16" s="35">
        <v>22125</v>
      </c>
      <c r="F16" s="10" t="s">
        <v>4</v>
      </c>
      <c r="G16" s="13"/>
      <c r="H16" s="25"/>
      <c r="I16" s="1"/>
    </row>
    <row r="17" spans="1:9" x14ac:dyDescent="0.25">
      <c r="A17" s="1"/>
      <c r="B17" s="84" t="s">
        <v>59</v>
      </c>
      <c r="C17" s="85"/>
      <c r="D17" s="86"/>
      <c r="E17" s="35">
        <v>0</v>
      </c>
      <c r="F17" s="10" t="s">
        <v>4</v>
      </c>
      <c r="G17" s="13"/>
      <c r="H17" s="25"/>
      <c r="I17" s="1"/>
    </row>
    <row r="18" spans="1:9" x14ac:dyDescent="0.25">
      <c r="A18" s="1"/>
      <c r="B18" s="84" t="s">
        <v>60</v>
      </c>
      <c r="C18" s="85"/>
      <c r="D18" s="86"/>
      <c r="E18" s="35">
        <v>0</v>
      </c>
      <c r="F18" s="10" t="s">
        <v>4</v>
      </c>
      <c r="G18" s="13"/>
      <c r="H18" s="25"/>
      <c r="I18" s="1"/>
    </row>
    <row r="19" spans="1:9" x14ac:dyDescent="0.25">
      <c r="A19" s="1"/>
      <c r="B19" s="88" t="s">
        <v>61</v>
      </c>
      <c r="C19" s="89"/>
      <c r="D19" s="90"/>
      <c r="E19" s="32">
        <f>SUM(E16:E18)</f>
        <v>22125</v>
      </c>
      <c r="F19" s="16" t="s">
        <v>4</v>
      </c>
      <c r="G19" s="13"/>
      <c r="H19" s="25"/>
      <c r="I19" s="1"/>
    </row>
    <row r="20" spans="1:9" ht="29.25" customHeight="1" x14ac:dyDescent="0.25">
      <c r="A20" s="1"/>
      <c r="B20" s="77" t="s">
        <v>62</v>
      </c>
      <c r="C20" s="78"/>
      <c r="D20" s="79"/>
      <c r="E20" s="35">
        <v>0</v>
      </c>
      <c r="F20" s="10" t="s">
        <v>4</v>
      </c>
      <c r="G20" s="13"/>
      <c r="H20" s="25"/>
      <c r="I20" s="1"/>
    </row>
    <row r="21" spans="1:9" ht="30.75" customHeight="1" x14ac:dyDescent="0.25">
      <c r="A21" s="1"/>
      <c r="B21" s="77" t="s">
        <v>63</v>
      </c>
      <c r="C21" s="78"/>
      <c r="D21" s="79"/>
      <c r="E21" s="35">
        <v>-456238</v>
      </c>
      <c r="F21" s="10" t="s">
        <v>4</v>
      </c>
      <c r="G21" s="13"/>
      <c r="H21" s="25"/>
      <c r="I21" s="1"/>
    </row>
    <row r="22" spans="1:9" x14ac:dyDescent="0.25">
      <c r="A22" s="1"/>
      <c r="B22" s="84" t="s">
        <v>64</v>
      </c>
      <c r="C22" s="85"/>
      <c r="D22" s="86"/>
      <c r="E22" s="35">
        <v>0</v>
      </c>
      <c r="F22" s="10" t="s">
        <v>4</v>
      </c>
      <c r="G22" s="13"/>
      <c r="H22" s="25"/>
      <c r="I22" s="1"/>
    </row>
    <row r="23" spans="1:9" x14ac:dyDescent="0.25">
      <c r="A23" s="1"/>
      <c r="B23" s="84" t="s">
        <v>65</v>
      </c>
      <c r="C23" s="85"/>
      <c r="D23" s="86"/>
      <c r="E23" s="35">
        <v>0</v>
      </c>
      <c r="F23" s="10" t="s">
        <v>4</v>
      </c>
      <c r="G23" s="13"/>
      <c r="H23" s="25"/>
      <c r="I23" s="1"/>
    </row>
    <row r="24" spans="1:9" ht="30" customHeight="1" x14ac:dyDescent="0.25">
      <c r="A24" s="1"/>
      <c r="B24" s="77" t="s">
        <v>66</v>
      </c>
      <c r="C24" s="78"/>
      <c r="D24" s="79"/>
      <c r="E24" s="35">
        <v>0</v>
      </c>
      <c r="F24" s="10" t="s">
        <v>4</v>
      </c>
      <c r="G24" s="13"/>
      <c r="H24" s="25"/>
      <c r="I24" s="1"/>
    </row>
    <row r="25" spans="1:9" ht="30" customHeight="1" x14ac:dyDescent="0.25">
      <c r="A25" s="1"/>
      <c r="B25" s="77" t="s">
        <v>67</v>
      </c>
      <c r="C25" s="78"/>
      <c r="D25" s="79"/>
      <c r="E25" s="35">
        <v>0</v>
      </c>
      <c r="F25" s="10" t="s">
        <v>4</v>
      </c>
      <c r="G25" s="13"/>
      <c r="H25" s="25"/>
      <c r="I25" s="1"/>
    </row>
    <row r="26" spans="1:9" ht="30" customHeight="1" x14ac:dyDescent="0.25">
      <c r="A26" s="1"/>
      <c r="B26" s="77" t="s">
        <v>68</v>
      </c>
      <c r="C26" s="78"/>
      <c r="D26" s="79"/>
      <c r="E26" s="35">
        <v>0</v>
      </c>
      <c r="F26" s="10" t="s">
        <v>4</v>
      </c>
      <c r="G26" s="13"/>
      <c r="H26" s="25"/>
      <c r="I26" s="1"/>
    </row>
    <row r="27" spans="1:9" x14ac:dyDescent="0.25">
      <c r="A27" s="1"/>
      <c r="B27" s="88" t="s">
        <v>69</v>
      </c>
      <c r="C27" s="89"/>
      <c r="D27" s="90"/>
      <c r="E27" s="32">
        <f>SUM(E20:E26)</f>
        <v>-456238</v>
      </c>
      <c r="F27" s="16" t="s">
        <v>4</v>
      </c>
      <c r="G27" s="14"/>
      <c r="H27" s="26"/>
      <c r="I27" s="1"/>
    </row>
    <row r="28" spans="1:9" x14ac:dyDescent="0.25">
      <c r="A28" s="1"/>
      <c r="B28" s="88" t="s">
        <v>70</v>
      </c>
      <c r="C28" s="89"/>
      <c r="D28" s="90"/>
      <c r="E28" s="32">
        <f>E15+E19+E27</f>
        <v>181588</v>
      </c>
      <c r="F28" s="16" t="s">
        <v>4</v>
      </c>
      <c r="G28" s="30">
        <f>IF(E28&lt;0,0,-E28)</f>
        <v>-181588</v>
      </c>
      <c r="H28" s="16" t="s">
        <v>4</v>
      </c>
      <c r="I28" s="1"/>
    </row>
    <row r="29" spans="1:9" x14ac:dyDescent="0.25">
      <c r="A29" s="1"/>
      <c r="B29" s="74" t="s">
        <v>71</v>
      </c>
      <c r="C29" s="75"/>
      <c r="D29" s="75"/>
      <c r="E29" s="75"/>
      <c r="F29" s="75"/>
      <c r="G29" s="75"/>
      <c r="H29" s="76"/>
      <c r="I29" s="1"/>
    </row>
    <row r="30" spans="1:9" x14ac:dyDescent="0.25">
      <c r="A30" s="1"/>
      <c r="B30" s="88" t="s">
        <v>71</v>
      </c>
      <c r="C30" s="89"/>
      <c r="D30" s="90"/>
      <c r="E30" s="36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112</v>
      </c>
      <c r="C31" s="75"/>
      <c r="D31" s="75"/>
      <c r="E31" s="75"/>
      <c r="F31" s="75"/>
      <c r="G31" s="75"/>
      <c r="H31" s="76"/>
      <c r="I31" s="1"/>
    </row>
    <row r="32" spans="1:9" ht="30" customHeight="1" x14ac:dyDescent="0.25">
      <c r="A32" s="1"/>
      <c r="B32" s="77" t="s">
        <v>113</v>
      </c>
      <c r="C32" s="78"/>
      <c r="D32" s="79"/>
      <c r="E32" s="35">
        <v>3491316</v>
      </c>
      <c r="F32" s="10" t="s">
        <v>4</v>
      </c>
      <c r="G32" s="19"/>
      <c r="H32" s="24"/>
      <c r="I32" s="1"/>
    </row>
    <row r="33" spans="1:9" x14ac:dyDescent="0.25">
      <c r="A33" s="1"/>
      <c r="B33" s="84" t="s">
        <v>72</v>
      </c>
      <c r="C33" s="85"/>
      <c r="D33" s="86"/>
      <c r="E33" s="35">
        <v>0</v>
      </c>
      <c r="F33" s="10" t="s">
        <v>4</v>
      </c>
      <c r="G33" s="13"/>
      <c r="H33" s="25"/>
      <c r="I33" s="1"/>
    </row>
    <row r="34" spans="1:9" ht="43.5" customHeight="1" x14ac:dyDescent="0.25">
      <c r="A34" s="1"/>
      <c r="B34" s="77" t="s">
        <v>73</v>
      </c>
      <c r="C34" s="78"/>
      <c r="D34" s="79"/>
      <c r="E34" s="35">
        <v>16563</v>
      </c>
      <c r="F34" s="10" t="s">
        <v>4</v>
      </c>
      <c r="G34" s="14"/>
      <c r="H34" s="26"/>
      <c r="I34" s="1"/>
    </row>
    <row r="35" spans="1:9" x14ac:dyDescent="0.25">
      <c r="A35" s="1"/>
      <c r="B35" s="88" t="s">
        <v>74</v>
      </c>
      <c r="C35" s="89"/>
      <c r="D35" s="90"/>
      <c r="E35" s="32">
        <f>SUM(E32:E34)</f>
        <v>3507879</v>
      </c>
      <c r="F35" s="16" t="s">
        <v>4</v>
      </c>
      <c r="G35" s="32">
        <f>-E35</f>
        <v>-3507879</v>
      </c>
      <c r="H35" s="16" t="s">
        <v>4</v>
      </c>
      <c r="I35" s="1"/>
    </row>
    <row r="36" spans="1:9" x14ac:dyDescent="0.25">
      <c r="A36" s="1"/>
      <c r="B36" s="74" t="s">
        <v>50</v>
      </c>
      <c r="C36" s="75"/>
      <c r="D36" s="75"/>
      <c r="E36" s="75"/>
      <c r="F36" s="76"/>
      <c r="G36" s="33">
        <f>$G$9+$G$28+$G$30+$G$35</f>
        <v>-1290246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topLeftCell="A4" zoomScaleNormal="100" workbookViewId="0">
      <selection activeCell="D25" sqref="D25"/>
    </sheetView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3" t="s">
        <v>119</v>
      </c>
      <c r="C3" s="83"/>
      <c r="D3" s="83"/>
      <c r="E3" s="83"/>
      <c r="F3" s="83"/>
      <c r="G3" s="83"/>
      <c r="H3" s="83"/>
      <c r="I3" s="1"/>
    </row>
    <row r="4" spans="1:9" ht="15" customHeight="1" x14ac:dyDescent="0.25">
      <c r="A4" s="1"/>
      <c r="B4" s="83"/>
      <c r="C4" s="83"/>
      <c r="D4" s="83"/>
      <c r="E4" s="83"/>
      <c r="F4" s="83"/>
      <c r="G4" s="83"/>
      <c r="H4" s="8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106</v>
      </c>
      <c r="C8" s="75"/>
      <c r="D8" s="75"/>
      <c r="E8" s="75"/>
      <c r="F8" s="75"/>
      <c r="G8" s="75"/>
      <c r="H8" s="76"/>
      <c r="I8" s="1"/>
    </row>
    <row r="9" spans="1:9" ht="30" customHeight="1" x14ac:dyDescent="0.25">
      <c r="A9" s="1"/>
      <c r="B9" s="77" t="s">
        <v>31</v>
      </c>
      <c r="C9" s="78"/>
      <c r="D9" s="79"/>
      <c r="E9" s="31">
        <f>'Fane 3. Grundlag'!G24</f>
        <v>4365872.4288745597</v>
      </c>
      <c r="F9" s="7" t="s">
        <v>4</v>
      </c>
      <c r="G9" s="8"/>
      <c r="H9" s="9"/>
      <c r="I9" s="1"/>
    </row>
    <row r="10" spans="1:9" x14ac:dyDescent="0.25">
      <c r="A10" s="1"/>
      <c r="B10" s="87" t="s">
        <v>98</v>
      </c>
      <c r="C10" s="85"/>
      <c r="D10" s="86"/>
      <c r="E10" s="20">
        <f>'Fane 3. Grundlag'!G23</f>
        <v>2532519.0397356194</v>
      </c>
      <c r="F10" s="7" t="s">
        <v>4</v>
      </c>
      <c r="G10" s="11"/>
      <c r="H10" s="12"/>
      <c r="I10" s="1"/>
    </row>
    <row r="11" spans="1:9" x14ac:dyDescent="0.25">
      <c r="A11" s="1"/>
      <c r="B11" s="84" t="s">
        <v>28</v>
      </c>
      <c r="C11" s="85"/>
      <c r="D11" s="86"/>
      <c r="E11" s="20">
        <f>'Fane 4. Generelt eff.krav'!G11</f>
        <v>31167.007615361981</v>
      </c>
      <c r="F11" s="7" t="s">
        <v>4</v>
      </c>
      <c r="G11" s="14"/>
      <c r="H11" s="15"/>
      <c r="I11" s="1"/>
    </row>
    <row r="12" spans="1:9" x14ac:dyDescent="0.25">
      <c r="A12" s="1"/>
      <c r="B12" s="88" t="s">
        <v>43</v>
      </c>
      <c r="C12" s="89"/>
      <c r="D12" s="90"/>
      <c r="E12" s="32">
        <f>$E$9-$E$11</f>
        <v>4334705.4212591974</v>
      </c>
      <c r="F12" s="17" t="s">
        <v>4</v>
      </c>
      <c r="G12" s="32">
        <f>E12</f>
        <v>4334705.4212591974</v>
      </c>
      <c r="H12" s="17" t="s">
        <v>4</v>
      </c>
      <c r="I12" s="1"/>
    </row>
    <row r="13" spans="1:9" x14ac:dyDescent="0.25">
      <c r="A13" s="1"/>
      <c r="B13" s="74" t="s">
        <v>32</v>
      </c>
      <c r="C13" s="75"/>
      <c r="D13" s="75"/>
      <c r="E13" s="75"/>
      <c r="F13" s="75"/>
      <c r="G13" s="75"/>
      <c r="H13" s="76"/>
      <c r="I13" s="1"/>
    </row>
    <row r="14" spans="1:9" x14ac:dyDescent="0.25">
      <c r="A14" s="1"/>
      <c r="B14" s="80" t="s">
        <v>105</v>
      </c>
      <c r="C14" s="81"/>
      <c r="D14" s="82"/>
      <c r="E14" s="32">
        <f>'Fane 5. Hist. over el. underdæk'!G13</f>
        <v>-104133.25</v>
      </c>
      <c r="F14" s="17" t="s">
        <v>4</v>
      </c>
      <c r="G14" s="32">
        <f>E14</f>
        <v>-104133.25</v>
      </c>
      <c r="H14" s="17" t="s">
        <v>4</v>
      </c>
      <c r="I14" s="1"/>
    </row>
    <row r="15" spans="1:9" x14ac:dyDescent="0.25">
      <c r="A15" s="1"/>
      <c r="B15" s="74" t="s">
        <v>29</v>
      </c>
      <c r="C15" s="75"/>
      <c r="D15" s="75"/>
      <c r="E15" s="75"/>
      <c r="F15" s="75"/>
      <c r="G15" s="75"/>
      <c r="H15" s="76"/>
      <c r="I15" s="1"/>
    </row>
    <row r="16" spans="1:9" x14ac:dyDescent="0.25">
      <c r="A16" s="1"/>
      <c r="B16" s="77" t="s">
        <v>35</v>
      </c>
      <c r="C16" s="78"/>
      <c r="D16" s="79"/>
      <c r="E16" s="20">
        <f>'Fane 7. Korrektion af PL2015'!G11</f>
        <v>613858</v>
      </c>
      <c r="F16" s="7" t="s">
        <v>4</v>
      </c>
      <c r="G16" s="19"/>
      <c r="H16" s="9"/>
      <c r="I16" s="1"/>
    </row>
    <row r="17" spans="1:9" x14ac:dyDescent="0.25">
      <c r="A17" s="1"/>
      <c r="B17" s="77" t="s">
        <v>36</v>
      </c>
      <c r="C17" s="78"/>
      <c r="D17" s="79"/>
      <c r="E17" s="20">
        <f>'Fane 7. Korrektion af PL2015'!G17</f>
        <v>1194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7" t="s">
        <v>99</v>
      </c>
      <c r="C18" s="78"/>
      <c r="D18" s="79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7" t="s">
        <v>37</v>
      </c>
      <c r="C19" s="78"/>
      <c r="D19" s="79"/>
      <c r="E19" s="20">
        <f>'Fane 7. Korrektion af PL2015'!G30</f>
        <v>19020.693333333329</v>
      </c>
      <c r="F19" s="7" t="s">
        <v>4</v>
      </c>
      <c r="G19" s="14"/>
      <c r="H19" s="15"/>
      <c r="I19" s="1"/>
    </row>
    <row r="20" spans="1:9" x14ac:dyDescent="0.25">
      <c r="A20" s="1"/>
      <c r="B20" s="80" t="s">
        <v>38</v>
      </c>
      <c r="C20" s="81"/>
      <c r="D20" s="82"/>
      <c r="E20" s="32">
        <f>SUM(E16:E19)</f>
        <v>634072.69333333336</v>
      </c>
      <c r="F20" s="17" t="s">
        <v>4</v>
      </c>
      <c r="G20" s="32">
        <f>E20</f>
        <v>634072.69333333336</v>
      </c>
      <c r="H20" s="17" t="s">
        <v>4</v>
      </c>
      <c r="I20" s="1"/>
    </row>
    <row r="21" spans="1:9" x14ac:dyDescent="0.25">
      <c r="A21" s="1"/>
      <c r="B21" s="74" t="s">
        <v>33</v>
      </c>
      <c r="C21" s="75"/>
      <c r="D21" s="75"/>
      <c r="E21" s="75"/>
      <c r="F21" s="75"/>
      <c r="G21" s="75"/>
      <c r="H21" s="76"/>
      <c r="I21" s="1"/>
    </row>
    <row r="22" spans="1:9" x14ac:dyDescent="0.25">
      <c r="A22" s="1"/>
      <c r="B22" s="80" t="s">
        <v>34</v>
      </c>
      <c r="C22" s="81"/>
      <c r="D22" s="82"/>
      <c r="E22" s="32">
        <f>'Fane 8. Kontrol af PL2015'!G36</f>
        <v>-1290246</v>
      </c>
      <c r="F22" s="17" t="s">
        <v>4</v>
      </c>
      <c r="G22" s="32">
        <f>E22</f>
        <v>-1290246</v>
      </c>
      <c r="H22" s="17" t="s">
        <v>4</v>
      </c>
      <c r="I22" s="1"/>
    </row>
    <row r="23" spans="1:9" x14ac:dyDescent="0.25">
      <c r="A23" s="1"/>
      <c r="B23" s="74" t="s">
        <v>39</v>
      </c>
      <c r="C23" s="75"/>
      <c r="D23" s="75"/>
      <c r="E23" s="75"/>
      <c r="F23" s="76"/>
      <c r="G23" s="33">
        <f>G12+G14+G20+G22</f>
        <v>3574398.8645925308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ht="14.25" x14ac:dyDescent="0.45">
      <c r="A33" s="6"/>
      <c r="B33" s="6"/>
      <c r="C33" s="6"/>
      <c r="D33" s="6"/>
      <c r="E33" s="6"/>
      <c r="F33" s="6"/>
      <c r="G33" s="6"/>
      <c r="H33" s="6"/>
      <c r="I33" s="6"/>
    </row>
    <row r="34" spans="1:9" ht="14.25" x14ac:dyDescent="0.45">
      <c r="A34" s="6"/>
      <c r="B34" s="6"/>
      <c r="C34" s="6"/>
      <c r="D34" s="6"/>
      <c r="E34" s="6"/>
      <c r="F34" s="6"/>
      <c r="G34" s="6"/>
      <c r="H34" s="6"/>
      <c r="I34" s="6"/>
    </row>
    <row r="35" spans="1:9" ht="14.25" x14ac:dyDescent="0.4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mergeCells count="17"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  <mergeCell ref="B23:F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>
      <selection activeCell="E19" sqref="E19"/>
    </sheetView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3" t="s">
        <v>10</v>
      </c>
      <c r="C3" s="83"/>
      <c r="D3" s="83"/>
      <c r="E3" s="83"/>
      <c r="F3" s="83"/>
      <c r="G3" s="83"/>
      <c r="H3" s="83"/>
      <c r="I3" s="1"/>
    </row>
    <row r="4" spans="1:9" ht="15" customHeight="1" x14ac:dyDescent="0.25">
      <c r="A4" s="1"/>
      <c r="B4" s="83"/>
      <c r="C4" s="83"/>
      <c r="D4" s="83"/>
      <c r="E4" s="83"/>
      <c r="F4" s="83"/>
      <c r="G4" s="83"/>
      <c r="H4" s="8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106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7" t="s">
        <v>40</v>
      </c>
      <c r="C9" s="78"/>
      <c r="D9" s="79"/>
      <c r="E9" s="34">
        <f>'Fane 2.1. Økonomisk ramme 2017'!$E$9-'Fane 2.1. Økonomisk ramme 2017'!$E$11</f>
        <v>4334705.4212591974</v>
      </c>
      <c r="F9" s="7" t="s">
        <v>4</v>
      </c>
      <c r="G9" s="8"/>
      <c r="H9" s="9"/>
      <c r="I9" s="1"/>
    </row>
    <row r="10" spans="1:9" x14ac:dyDescent="0.25">
      <c r="A10" s="1"/>
      <c r="B10" s="87" t="s">
        <v>98</v>
      </c>
      <c r="C10" s="85"/>
      <c r="D10" s="86"/>
      <c r="E10" s="35">
        <f>'Fane 2.1. Økonomisk ramme 2017'!$E$10</f>
        <v>2532519.0397356194</v>
      </c>
      <c r="F10" s="7" t="s">
        <v>4</v>
      </c>
      <c r="G10" s="11"/>
      <c r="H10" s="12"/>
      <c r="I10" s="1"/>
    </row>
    <row r="11" spans="1:9" x14ac:dyDescent="0.25">
      <c r="A11" s="1"/>
      <c r="B11" s="84" t="s">
        <v>41</v>
      </c>
      <c r="C11" s="85"/>
      <c r="D11" s="86"/>
      <c r="E11" s="35">
        <f>$E$9*0.0127</f>
        <v>55050.758849991806</v>
      </c>
      <c r="F11" s="7" t="s">
        <v>4</v>
      </c>
      <c r="G11" s="13"/>
      <c r="H11" s="12"/>
      <c r="I11" s="1"/>
    </row>
    <row r="12" spans="1:9" x14ac:dyDescent="0.25">
      <c r="A12" s="1"/>
      <c r="B12" s="27" t="s">
        <v>28</v>
      </c>
      <c r="C12" s="28"/>
      <c r="D12" s="29"/>
      <c r="E12" s="35">
        <f>($E$9-$E$10)*1.0127*0.017</f>
        <v>31026.260525671765</v>
      </c>
      <c r="F12" s="7" t="s">
        <v>4</v>
      </c>
      <c r="G12" s="14"/>
      <c r="H12" s="15"/>
      <c r="I12" s="1"/>
    </row>
    <row r="13" spans="1:9" x14ac:dyDescent="0.25">
      <c r="A13" s="1"/>
      <c r="B13" s="88" t="s">
        <v>43</v>
      </c>
      <c r="C13" s="89"/>
      <c r="D13" s="90"/>
      <c r="E13" s="32">
        <f>$E$9+$E$11-$E$12</f>
        <v>4358729.9195835171</v>
      </c>
      <c r="F13" s="17" t="s">
        <v>4</v>
      </c>
      <c r="G13" s="32">
        <f>E13</f>
        <v>4358729.9195835171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80" t="s">
        <v>105</v>
      </c>
      <c r="C15" s="81"/>
      <c r="D15" s="82"/>
      <c r="E15" s="36">
        <f>IF('Fane 5. Hist. over el. underdæk'!$G$12&gt;1,'Fane 5. Hist. over el. underdæk'!$G$13,0)</f>
        <v>-104133.25</v>
      </c>
      <c r="F15" s="17" t="s">
        <v>4</v>
      </c>
      <c r="G15" s="32">
        <f>E15</f>
        <v>-104133.25</v>
      </c>
      <c r="H15" s="17" t="s">
        <v>4</v>
      </c>
      <c r="I15" s="1"/>
    </row>
    <row r="16" spans="1:9" x14ac:dyDescent="0.25">
      <c r="A16" s="1"/>
      <c r="B16" s="74" t="s">
        <v>42</v>
      </c>
      <c r="C16" s="75"/>
      <c r="D16" s="75"/>
      <c r="E16" s="75"/>
      <c r="F16" s="76"/>
      <c r="G16" s="33">
        <f>G13+G15</f>
        <v>4254596.6695835171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>
      <selection activeCell="F19" sqref="F19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3" t="s">
        <v>9</v>
      </c>
      <c r="C3" s="83"/>
      <c r="D3" s="83"/>
      <c r="E3" s="83"/>
      <c r="F3" s="83"/>
      <c r="G3" s="83"/>
      <c r="H3" s="83"/>
      <c r="I3" s="1"/>
    </row>
    <row r="4" spans="1:9" ht="15" customHeight="1" x14ac:dyDescent="0.25">
      <c r="A4" s="1"/>
      <c r="B4" s="83"/>
      <c r="C4" s="83"/>
      <c r="D4" s="83"/>
      <c r="E4" s="83"/>
      <c r="F4" s="83"/>
      <c r="G4" s="83"/>
      <c r="H4" s="8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106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7" t="s">
        <v>44</v>
      </c>
      <c r="C9" s="78"/>
      <c r="D9" s="79"/>
      <c r="E9" s="34">
        <f>'Fane 2.2. Økonomisk ramme 2018'!$E$9*1.0127-'Fane 2.2. Økonomisk ramme 2018'!$E$12</f>
        <v>4358729.9195835171</v>
      </c>
      <c r="F9" s="7" t="s">
        <v>4</v>
      </c>
      <c r="G9" s="8"/>
      <c r="H9" s="9"/>
      <c r="I9" s="1"/>
    </row>
    <row r="10" spans="1:9" x14ac:dyDescent="0.25">
      <c r="A10" s="1"/>
      <c r="B10" s="87" t="s">
        <v>98</v>
      </c>
      <c r="C10" s="85"/>
      <c r="D10" s="86"/>
      <c r="E10" s="35">
        <f>'Fane 2.2. Økonomisk ramme 2018'!$E$10*1.0127</f>
        <v>2564682.0315402616</v>
      </c>
      <c r="F10" s="7" t="s">
        <v>4</v>
      </c>
      <c r="G10" s="11"/>
      <c r="H10" s="12"/>
      <c r="I10" s="1"/>
    </row>
    <row r="11" spans="1:9" x14ac:dyDescent="0.25">
      <c r="A11" s="1"/>
      <c r="B11" s="84" t="s">
        <v>41</v>
      </c>
      <c r="C11" s="85"/>
      <c r="D11" s="86"/>
      <c r="E11" s="35">
        <f>$E$9*0.0127</f>
        <v>55355.869978710667</v>
      </c>
      <c r="F11" s="7" t="s">
        <v>4</v>
      </c>
      <c r="G11" s="13"/>
      <c r="H11" s="12"/>
      <c r="I11" s="1"/>
    </row>
    <row r="12" spans="1:9" x14ac:dyDescent="0.25">
      <c r="A12" s="1"/>
      <c r="B12" s="27" t="s">
        <v>28</v>
      </c>
      <c r="C12" s="28"/>
      <c r="D12" s="29"/>
      <c r="E12" s="35">
        <f>($E$9-$E$10)*1.0127*0.017</f>
        <v>30886.149035763883</v>
      </c>
      <c r="F12" s="7" t="s">
        <v>4</v>
      </c>
      <c r="G12" s="14"/>
      <c r="H12" s="15"/>
      <c r="I12" s="1"/>
    </row>
    <row r="13" spans="1:9" x14ac:dyDescent="0.25">
      <c r="A13" s="1"/>
      <c r="B13" s="88" t="s">
        <v>43</v>
      </c>
      <c r="C13" s="89"/>
      <c r="D13" s="90"/>
      <c r="E13" s="32">
        <f>$E$9+$E$11-$E$12</f>
        <v>4383199.6405264642</v>
      </c>
      <c r="F13" s="17" t="s">
        <v>4</v>
      </c>
      <c r="G13" s="32">
        <f>E13</f>
        <v>4383199.6405264642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80" t="s">
        <v>105</v>
      </c>
      <c r="C15" s="81"/>
      <c r="D15" s="82"/>
      <c r="E15" s="36">
        <f>IF('Fane 5. Hist. over el. underdæk'!$G$12&gt;2,'Fane 5. Hist. over el. underdæk'!$G$13,0)</f>
        <v>-104133.25</v>
      </c>
      <c r="F15" s="17" t="s">
        <v>4</v>
      </c>
      <c r="G15" s="32">
        <f>E15</f>
        <v>-104133.25</v>
      </c>
      <c r="H15" s="17" t="s">
        <v>4</v>
      </c>
      <c r="I15" s="1"/>
    </row>
    <row r="16" spans="1:9" x14ac:dyDescent="0.25">
      <c r="A16" s="1"/>
      <c r="B16" s="74" t="s">
        <v>45</v>
      </c>
      <c r="C16" s="75"/>
      <c r="D16" s="75"/>
      <c r="E16" s="75"/>
      <c r="F16" s="76"/>
      <c r="G16" s="33">
        <f>G13+G15</f>
        <v>4279066.3905264642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>
      <selection activeCell="G18" sqref="G18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3" t="s">
        <v>8</v>
      </c>
      <c r="C3" s="83"/>
      <c r="D3" s="83"/>
      <c r="E3" s="83"/>
      <c r="F3" s="83"/>
      <c r="G3" s="83"/>
      <c r="H3" s="83"/>
      <c r="I3" s="1"/>
    </row>
    <row r="4" spans="1:9" ht="15" customHeight="1" x14ac:dyDescent="0.25">
      <c r="A4" s="1"/>
      <c r="B4" s="83"/>
      <c r="C4" s="83"/>
      <c r="D4" s="83"/>
      <c r="E4" s="83"/>
      <c r="F4" s="83"/>
      <c r="G4" s="83"/>
      <c r="H4" s="8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106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7" t="s">
        <v>46</v>
      </c>
      <c r="C9" s="78"/>
      <c r="D9" s="79"/>
      <c r="E9" s="34">
        <f>'Fane 2.3. Økonomisk ramme 2019'!$E$9*1.0127-'Fane 2.3. Økonomisk ramme 2019'!$E$12</f>
        <v>4383199.6405264633</v>
      </c>
      <c r="F9" s="7" t="s">
        <v>4</v>
      </c>
      <c r="G9" s="8"/>
      <c r="H9" s="9"/>
      <c r="I9" s="1"/>
    </row>
    <row r="10" spans="1:9" x14ac:dyDescent="0.25">
      <c r="A10" s="1"/>
      <c r="B10" s="87" t="s">
        <v>98</v>
      </c>
      <c r="C10" s="85"/>
      <c r="D10" s="86"/>
      <c r="E10" s="35">
        <f>'Fane 2.3. Økonomisk ramme 2019'!$E$10*1.0127</f>
        <v>2597253.4933408229</v>
      </c>
      <c r="F10" s="7" t="s">
        <v>4</v>
      </c>
      <c r="G10" s="11"/>
      <c r="H10" s="12"/>
      <c r="I10" s="1"/>
    </row>
    <row r="11" spans="1:9" x14ac:dyDescent="0.25">
      <c r="A11" s="1"/>
      <c r="B11" s="84" t="s">
        <v>41</v>
      </c>
      <c r="C11" s="85"/>
      <c r="D11" s="86"/>
      <c r="E11" s="35">
        <f>$E$9*0.0127</f>
        <v>55666.635434686083</v>
      </c>
      <c r="F11" s="7" t="s">
        <v>4</v>
      </c>
      <c r="G11" s="13"/>
      <c r="H11" s="12"/>
      <c r="I11" s="1"/>
    </row>
    <row r="12" spans="1:9" x14ac:dyDescent="0.25">
      <c r="A12" s="1"/>
      <c r="B12" s="27" t="s">
        <v>28</v>
      </c>
      <c r="C12" s="28"/>
      <c r="D12" s="29"/>
      <c r="E12" s="35">
        <f>($E$9-$E$10)*1.0127*0.017</f>
        <v>30746.670275333265</v>
      </c>
      <c r="F12" s="7" t="s">
        <v>4</v>
      </c>
      <c r="G12" s="14"/>
      <c r="H12" s="15"/>
      <c r="I12" s="1"/>
    </row>
    <row r="13" spans="1:9" x14ac:dyDescent="0.25">
      <c r="A13" s="1"/>
      <c r="B13" s="88" t="s">
        <v>43</v>
      </c>
      <c r="C13" s="89"/>
      <c r="D13" s="90"/>
      <c r="E13" s="32">
        <f>$E$9+$E$11-$E$12</f>
        <v>4408119.6056858161</v>
      </c>
      <c r="F13" s="17" t="s">
        <v>4</v>
      </c>
      <c r="G13" s="32">
        <f>E13</f>
        <v>4408119.6056858161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80" t="s">
        <v>105</v>
      </c>
      <c r="C15" s="81"/>
      <c r="D15" s="82"/>
      <c r="E15" s="36">
        <f>IF('Fane 5. Hist. over el. underdæk'!$G$12&gt;3,'Fane 5. Hist. over el. underdæk'!$G$13,0)</f>
        <v>-104133.25</v>
      </c>
      <c r="F15" s="17" t="s">
        <v>4</v>
      </c>
      <c r="G15" s="32">
        <f>E15</f>
        <v>-104133.25</v>
      </c>
      <c r="H15" s="17" t="s">
        <v>4</v>
      </c>
      <c r="I15" s="1"/>
    </row>
    <row r="16" spans="1:9" x14ac:dyDescent="0.25">
      <c r="A16" s="1"/>
      <c r="B16" s="74" t="s">
        <v>47</v>
      </c>
      <c r="C16" s="75"/>
      <c r="D16" s="75"/>
      <c r="E16" s="75"/>
      <c r="F16" s="76"/>
      <c r="G16" s="33">
        <f>G13+G15</f>
        <v>4303986.3556858161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56"/>
  <sheetViews>
    <sheetView view="pageLayout" topLeftCell="A4" zoomScaleNormal="100" workbookViewId="0">
      <selection activeCell="B28" sqref="B28"/>
    </sheetView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3" t="s">
        <v>7</v>
      </c>
      <c r="C3" s="83"/>
      <c r="D3" s="83"/>
      <c r="E3" s="83"/>
      <c r="F3" s="83"/>
      <c r="G3" s="83"/>
      <c r="H3" s="83"/>
      <c r="I3" s="1"/>
    </row>
    <row r="4" spans="1:9" ht="15" customHeight="1" x14ac:dyDescent="0.25">
      <c r="A4" s="1"/>
      <c r="B4" s="83"/>
      <c r="C4" s="83"/>
      <c r="D4" s="83"/>
      <c r="E4" s="83"/>
      <c r="F4" s="83"/>
      <c r="G4" s="83"/>
      <c r="H4" s="8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s="44" customFormat="1" x14ac:dyDescent="0.25">
      <c r="A6" s="45"/>
      <c r="B6" s="45"/>
      <c r="C6" s="45"/>
      <c r="D6" s="45"/>
      <c r="E6" s="45"/>
      <c r="F6" s="45"/>
      <c r="G6" s="45"/>
      <c r="H6" s="45"/>
      <c r="I6" s="45"/>
    </row>
    <row r="7" spans="1:9" s="44" customFormat="1" x14ac:dyDescent="0.25">
      <c r="A7" s="45"/>
      <c r="B7" s="45"/>
      <c r="C7" s="45"/>
      <c r="D7" s="45"/>
      <c r="E7" s="45"/>
      <c r="F7" s="45"/>
      <c r="G7" s="45"/>
      <c r="H7" s="45"/>
      <c r="I7" s="45"/>
    </row>
    <row r="8" spans="1:9" s="44" customFormat="1" x14ac:dyDescent="0.25">
      <c r="A8" s="45"/>
      <c r="B8" s="74" t="s">
        <v>122</v>
      </c>
      <c r="C8" s="75"/>
      <c r="D8" s="75"/>
      <c r="E8" s="75"/>
      <c r="F8" s="75"/>
      <c r="G8" s="75"/>
      <c r="H8" s="76"/>
      <c r="I8" s="45"/>
    </row>
    <row r="9" spans="1:9" s="44" customFormat="1" x14ac:dyDescent="0.25">
      <c r="A9" s="45"/>
      <c r="B9" s="84" t="s">
        <v>100</v>
      </c>
      <c r="C9" s="85"/>
      <c r="D9" s="85"/>
      <c r="E9" s="85"/>
      <c r="F9" s="86"/>
      <c r="G9" s="49">
        <v>979099.87027493271</v>
      </c>
      <c r="H9" s="46" t="s">
        <v>4</v>
      </c>
      <c r="I9" s="45"/>
    </row>
    <row r="10" spans="1:9" s="44" customFormat="1" x14ac:dyDescent="0.25">
      <c r="A10" s="45"/>
      <c r="B10" s="84" t="s">
        <v>101</v>
      </c>
      <c r="C10" s="85"/>
      <c r="D10" s="85"/>
      <c r="E10" s="85"/>
      <c r="F10" s="86"/>
      <c r="G10" s="49">
        <v>742238.77186400746</v>
      </c>
      <c r="H10" s="46" t="s">
        <v>4</v>
      </c>
      <c r="I10" s="45"/>
    </row>
    <row r="11" spans="1:9" s="44" customFormat="1" x14ac:dyDescent="0.25">
      <c r="A11" s="45"/>
      <c r="B11" s="84" t="s">
        <v>102</v>
      </c>
      <c r="C11" s="85"/>
      <c r="D11" s="85"/>
      <c r="E11" s="85"/>
      <c r="F11" s="86"/>
      <c r="G11" s="49">
        <v>2509481.3757356196</v>
      </c>
      <c r="H11" s="46" t="s">
        <v>4</v>
      </c>
      <c r="I11" s="45"/>
    </row>
    <row r="12" spans="1:9" s="44" customFormat="1" x14ac:dyDescent="0.25">
      <c r="A12" s="45"/>
      <c r="B12" s="74" t="s">
        <v>48</v>
      </c>
      <c r="C12" s="75"/>
      <c r="D12" s="75"/>
      <c r="E12" s="75"/>
      <c r="F12" s="76"/>
      <c r="G12" s="48">
        <f>SUM(G9:G11)</f>
        <v>4230820.0178745594</v>
      </c>
      <c r="H12" s="47" t="s">
        <v>4</v>
      </c>
      <c r="I12" s="45"/>
    </row>
    <row r="13" spans="1:9" s="44" customFormat="1" x14ac:dyDescent="0.25">
      <c r="A13" s="45"/>
      <c r="B13" s="45"/>
      <c r="C13" s="45"/>
      <c r="D13" s="45"/>
      <c r="E13" s="45"/>
      <c r="F13" s="45"/>
      <c r="G13" s="45"/>
      <c r="H13" s="45"/>
      <c r="I13" s="45"/>
    </row>
    <row r="14" spans="1:9" s="44" customFormat="1" x14ac:dyDescent="0.25">
      <c r="A14" s="45"/>
      <c r="B14" s="74" t="s">
        <v>120</v>
      </c>
      <c r="C14" s="75"/>
      <c r="D14" s="75"/>
      <c r="E14" s="75"/>
      <c r="F14" s="75"/>
      <c r="G14" s="75"/>
      <c r="H14" s="76"/>
      <c r="I14" s="45"/>
    </row>
    <row r="15" spans="1:9" s="44" customFormat="1" x14ac:dyDescent="0.25">
      <c r="A15" s="45"/>
      <c r="B15" s="84" t="s">
        <v>100</v>
      </c>
      <c r="C15" s="85"/>
      <c r="D15" s="85"/>
      <c r="E15" s="85"/>
      <c r="F15" s="86"/>
      <c r="G15" s="49">
        <f>99885*1.0127</f>
        <v>101153.5395</v>
      </c>
      <c r="H15" s="46" t="s">
        <v>4</v>
      </c>
      <c r="I15" s="45"/>
    </row>
    <row r="16" spans="1:9" s="44" customFormat="1" x14ac:dyDescent="0.25">
      <c r="A16" s="45"/>
      <c r="B16" s="84" t="s">
        <v>101</v>
      </c>
      <c r="C16" s="85"/>
      <c r="D16" s="85"/>
      <c r="E16" s="85"/>
      <c r="F16" s="86"/>
      <c r="G16" s="49">
        <f>10725*1.0127</f>
        <v>10861.207499999999</v>
      </c>
      <c r="H16" s="46" t="s">
        <v>4</v>
      </c>
      <c r="I16" s="45"/>
    </row>
    <row r="17" spans="1:9" x14ac:dyDescent="0.25">
      <c r="A17" s="1"/>
      <c r="B17" s="84" t="s">
        <v>102</v>
      </c>
      <c r="C17" s="85"/>
      <c r="D17" s="85"/>
      <c r="E17" s="85"/>
      <c r="F17" s="86"/>
      <c r="G17" s="49">
        <f>22432*1.027</f>
        <v>23037.663999999997</v>
      </c>
      <c r="H17" s="46" t="s">
        <v>4</v>
      </c>
      <c r="I17" s="1"/>
    </row>
    <row r="18" spans="1:9" s="44" customFormat="1" x14ac:dyDescent="0.25">
      <c r="A18" s="45"/>
      <c r="B18" s="74" t="s">
        <v>48</v>
      </c>
      <c r="C18" s="75"/>
      <c r="D18" s="75"/>
      <c r="E18" s="75"/>
      <c r="F18" s="76"/>
      <c r="G18" s="48">
        <f>SUM(G15:G17)</f>
        <v>135052.41099999999</v>
      </c>
      <c r="H18" s="47" t="s">
        <v>4</v>
      </c>
      <c r="I18" s="45"/>
    </row>
    <row r="19" spans="1:9" x14ac:dyDescent="0.25">
      <c r="A19" s="1"/>
      <c r="B19" s="45"/>
      <c r="C19" s="45"/>
      <c r="D19" s="45"/>
      <c r="E19" s="45"/>
      <c r="F19" s="45"/>
      <c r="G19" s="45"/>
      <c r="H19" s="45"/>
      <c r="I19" s="1"/>
    </row>
    <row r="20" spans="1:9" x14ac:dyDescent="0.25">
      <c r="A20" s="1"/>
      <c r="B20" s="74" t="s">
        <v>121</v>
      </c>
      <c r="C20" s="75"/>
      <c r="D20" s="75"/>
      <c r="E20" s="75"/>
      <c r="F20" s="75"/>
      <c r="G20" s="75"/>
      <c r="H20" s="76"/>
      <c r="I20" s="1"/>
    </row>
    <row r="21" spans="1:9" x14ac:dyDescent="0.25">
      <c r="A21" s="1"/>
      <c r="B21" s="84" t="s">
        <v>100</v>
      </c>
      <c r="C21" s="85"/>
      <c r="D21" s="85"/>
      <c r="E21" s="85"/>
      <c r="F21" s="86"/>
      <c r="G21" s="49">
        <f>G9+G15</f>
        <v>1080253.4097749328</v>
      </c>
      <c r="H21" s="46" t="s">
        <v>4</v>
      </c>
      <c r="I21" s="1"/>
    </row>
    <row r="22" spans="1:9" x14ac:dyDescent="0.25">
      <c r="A22" s="1"/>
      <c r="B22" s="84" t="s">
        <v>101</v>
      </c>
      <c r="C22" s="85"/>
      <c r="D22" s="85"/>
      <c r="E22" s="85"/>
      <c r="F22" s="86"/>
      <c r="G22" s="49">
        <f t="shared" ref="G22:G23" si="0">G10+G16</f>
        <v>753099.97936400748</v>
      </c>
      <c r="H22" s="46" t="s">
        <v>4</v>
      </c>
      <c r="I22" s="1"/>
    </row>
    <row r="23" spans="1:9" x14ac:dyDescent="0.25">
      <c r="A23" s="1"/>
      <c r="B23" s="84" t="s">
        <v>102</v>
      </c>
      <c r="C23" s="85"/>
      <c r="D23" s="85"/>
      <c r="E23" s="85"/>
      <c r="F23" s="86"/>
      <c r="G23" s="49">
        <f t="shared" si="0"/>
        <v>2532519.0397356194</v>
      </c>
      <c r="H23" s="10" t="s">
        <v>4</v>
      </c>
      <c r="I23" s="1"/>
    </row>
    <row r="24" spans="1:9" x14ac:dyDescent="0.25">
      <c r="A24" s="1"/>
      <c r="B24" s="74" t="s">
        <v>48</v>
      </c>
      <c r="C24" s="75"/>
      <c r="D24" s="75"/>
      <c r="E24" s="75"/>
      <c r="F24" s="76"/>
      <c r="G24" s="33">
        <f>SUM(G21:G23)</f>
        <v>4365872.4288745597</v>
      </c>
      <c r="H24" s="18" t="s">
        <v>4</v>
      </c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43" t="s">
        <v>123</v>
      </c>
      <c r="C26" s="42"/>
      <c r="D26" s="42"/>
      <c r="E26" s="42"/>
      <c r="F26" s="42"/>
      <c r="G26" s="42"/>
      <c r="H26" s="42"/>
      <c r="I26" s="1"/>
    </row>
    <row r="27" spans="1:9" x14ac:dyDescent="0.25">
      <c r="A27" s="1"/>
      <c r="B27" s="43" t="s">
        <v>124</v>
      </c>
      <c r="C27" s="42"/>
      <c r="D27" s="42"/>
      <c r="E27" s="42"/>
      <c r="F27" s="42"/>
      <c r="G27" s="42"/>
      <c r="H27" s="4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ht="14.25" x14ac:dyDescent="0.45">
      <c r="A36" s="6"/>
      <c r="B36" s="6"/>
      <c r="C36" s="6"/>
      <c r="D36" s="6"/>
      <c r="E36" s="6"/>
      <c r="F36" s="6"/>
      <c r="G36" s="6"/>
      <c r="H36" s="6"/>
      <c r="I36" s="6"/>
    </row>
    <row r="37" spans="1:9" ht="14.25" x14ac:dyDescent="0.45">
      <c r="A37" s="6"/>
      <c r="B37" s="6"/>
      <c r="C37" s="6"/>
      <c r="D37" s="6"/>
      <c r="E37" s="6"/>
      <c r="F37" s="6"/>
      <c r="G37" s="6"/>
      <c r="H37" s="6"/>
      <c r="I37" s="6"/>
    </row>
    <row r="38" spans="1:9" ht="14.25" x14ac:dyDescent="0.45">
      <c r="A38" s="6"/>
      <c r="B38" s="6"/>
      <c r="C38" s="6"/>
      <c r="D38" s="6"/>
      <c r="E38" s="6"/>
      <c r="F38" s="6"/>
      <c r="G38" s="6"/>
      <c r="H38" s="6"/>
      <c r="I38" s="6"/>
    </row>
    <row r="39" spans="1:9" ht="14.25" x14ac:dyDescent="0.4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  <row r="53" spans="1:9" x14ac:dyDescent="0.25">
      <c r="A53" s="6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6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6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6"/>
      <c r="B56" s="6"/>
      <c r="C56" s="6"/>
      <c r="D56" s="6"/>
      <c r="E56" s="6"/>
      <c r="F56" s="6"/>
      <c r="G56" s="6"/>
      <c r="H56" s="6"/>
      <c r="I56" s="6"/>
    </row>
  </sheetData>
  <mergeCells count="16">
    <mergeCell ref="B24:F24"/>
    <mergeCell ref="B20:H20"/>
    <mergeCell ref="B3:H4"/>
    <mergeCell ref="B23:F23"/>
    <mergeCell ref="B22:F22"/>
    <mergeCell ref="B21:F21"/>
    <mergeCell ref="B8:H8"/>
    <mergeCell ref="B9:F9"/>
    <mergeCell ref="B10:F10"/>
    <mergeCell ref="B11:F11"/>
    <mergeCell ref="B12:F12"/>
    <mergeCell ref="B15:F15"/>
    <mergeCell ref="B16:F16"/>
    <mergeCell ref="B17:F17"/>
    <mergeCell ref="B18:F18"/>
    <mergeCell ref="B14:H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>
      <selection activeCell="G9" sqref="G9"/>
    </sheetView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3" t="s">
        <v>114</v>
      </c>
      <c r="C3" s="83"/>
      <c r="D3" s="83"/>
      <c r="E3" s="83"/>
      <c r="F3" s="83"/>
      <c r="G3" s="83"/>
      <c r="H3" s="83"/>
      <c r="I3" s="1"/>
    </row>
    <row r="4" spans="1:9" ht="15" customHeight="1" x14ac:dyDescent="0.25">
      <c r="A4" s="1"/>
      <c r="B4" s="83"/>
      <c r="C4" s="83"/>
      <c r="D4" s="83"/>
      <c r="E4" s="83"/>
      <c r="F4" s="83"/>
      <c r="G4" s="83"/>
      <c r="H4" s="8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103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84" t="s">
        <v>107</v>
      </c>
      <c r="C9" s="85"/>
      <c r="D9" s="85"/>
      <c r="E9" s="85"/>
      <c r="F9" s="86"/>
      <c r="G9" s="20">
        <f>'Fane 3. Grundlag'!G24-'Fane 3. Grundlag'!G23</f>
        <v>1833353.3891389403</v>
      </c>
      <c r="H9" s="10" t="s">
        <v>4</v>
      </c>
      <c r="I9" s="1"/>
    </row>
    <row r="10" spans="1:9" x14ac:dyDescent="0.25">
      <c r="A10" s="1"/>
      <c r="B10" s="84" t="s">
        <v>28</v>
      </c>
      <c r="C10" s="85"/>
      <c r="D10" s="85"/>
      <c r="E10" s="85"/>
      <c r="F10" s="86"/>
      <c r="G10" s="41">
        <f>1.7</f>
        <v>1.7</v>
      </c>
      <c r="H10" s="10" t="s">
        <v>75</v>
      </c>
      <c r="I10" s="1"/>
    </row>
    <row r="11" spans="1:9" x14ac:dyDescent="0.25">
      <c r="A11" s="1"/>
      <c r="B11" s="74" t="s">
        <v>28</v>
      </c>
      <c r="C11" s="75"/>
      <c r="D11" s="75"/>
      <c r="E11" s="75"/>
      <c r="F11" s="76"/>
      <c r="G11" s="33">
        <f>$G$9*$G$10/100</f>
        <v>31167.007615361981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3" t="s">
        <v>115</v>
      </c>
      <c r="C3" s="83"/>
      <c r="D3" s="83"/>
      <c r="E3" s="83"/>
      <c r="F3" s="83"/>
      <c r="G3" s="83"/>
      <c r="H3" s="83"/>
      <c r="I3" s="1"/>
    </row>
    <row r="4" spans="1:9" ht="15" customHeight="1" x14ac:dyDescent="0.25">
      <c r="A4" s="1"/>
      <c r="B4" s="83"/>
      <c r="C4" s="83"/>
      <c r="D4" s="83"/>
      <c r="E4" s="83"/>
      <c r="F4" s="83"/>
      <c r="G4" s="83"/>
      <c r="H4" s="8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104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84" t="s">
        <v>77</v>
      </c>
      <c r="C9" s="85"/>
      <c r="D9" s="85"/>
      <c r="E9" s="85"/>
      <c r="F9" s="86"/>
      <c r="G9" s="35">
        <v>-1049686</v>
      </c>
      <c r="H9" s="10" t="s">
        <v>4</v>
      </c>
      <c r="I9" s="1"/>
    </row>
    <row r="10" spans="1:9" x14ac:dyDescent="0.25">
      <c r="A10" s="1"/>
      <c r="B10" s="84" t="s">
        <v>78</v>
      </c>
      <c r="C10" s="85"/>
      <c r="D10" s="85"/>
      <c r="E10" s="85"/>
      <c r="F10" s="86"/>
      <c r="G10" s="35">
        <v>-633153</v>
      </c>
      <c r="H10" s="10" t="s">
        <v>4</v>
      </c>
      <c r="I10" s="1"/>
    </row>
    <row r="11" spans="1:9" x14ac:dyDescent="0.25">
      <c r="A11" s="1"/>
      <c r="B11" s="91" t="s">
        <v>92</v>
      </c>
      <c r="C11" s="92"/>
      <c r="D11" s="92"/>
      <c r="E11" s="92"/>
      <c r="F11" s="93"/>
      <c r="G11" s="37">
        <v>-416533</v>
      </c>
      <c r="H11" s="22" t="s">
        <v>4</v>
      </c>
      <c r="I11" s="1"/>
    </row>
    <row r="12" spans="1:9" x14ac:dyDescent="0.25">
      <c r="A12" s="1"/>
      <c r="B12" s="84" t="s">
        <v>79</v>
      </c>
      <c r="C12" s="85"/>
      <c r="D12" s="85"/>
      <c r="E12" s="85"/>
      <c r="F12" s="86"/>
      <c r="G12" s="35">
        <v>4</v>
      </c>
      <c r="H12" s="10" t="s">
        <v>4</v>
      </c>
      <c r="I12" s="1"/>
    </row>
    <row r="13" spans="1:9" x14ac:dyDescent="0.25">
      <c r="A13" s="1"/>
      <c r="B13" s="74" t="s">
        <v>76</v>
      </c>
      <c r="C13" s="75"/>
      <c r="D13" s="75"/>
      <c r="E13" s="75"/>
      <c r="F13" s="76"/>
      <c r="G13" s="33">
        <f>G11/G12</f>
        <v>-104133.25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3" t="s">
        <v>116</v>
      </c>
      <c r="C3" s="83"/>
      <c r="D3" s="83"/>
      <c r="E3" s="83"/>
      <c r="F3" s="83"/>
      <c r="G3" s="83"/>
      <c r="H3" s="1"/>
    </row>
    <row r="4" spans="1:8" ht="15" customHeight="1" x14ac:dyDescent="0.25">
      <c r="A4" s="1"/>
      <c r="B4" s="83"/>
      <c r="C4" s="83"/>
      <c r="D4" s="83"/>
      <c r="E4" s="83"/>
      <c r="F4" s="83"/>
      <c r="G4" s="83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4" t="s">
        <v>6</v>
      </c>
      <c r="C8" s="75"/>
      <c r="D8" s="75"/>
      <c r="E8" s="75"/>
      <c r="F8" s="75"/>
      <c r="G8" s="76"/>
      <c r="H8" s="1"/>
    </row>
    <row r="9" spans="1:8" ht="39" customHeight="1" x14ac:dyDescent="0.25">
      <c r="A9" s="1"/>
      <c r="B9" s="39" t="s">
        <v>0</v>
      </c>
      <c r="C9" s="17" t="s">
        <v>1</v>
      </c>
      <c r="D9" s="23" t="s">
        <v>2</v>
      </c>
      <c r="E9" s="23" t="s">
        <v>80</v>
      </c>
      <c r="F9" s="94" t="s">
        <v>3</v>
      </c>
      <c r="G9" s="94"/>
      <c r="H9" s="1"/>
    </row>
    <row r="10" spans="1:8" ht="26.25" x14ac:dyDescent="0.25">
      <c r="A10" s="1"/>
      <c r="B10" s="40" t="s">
        <v>109</v>
      </c>
      <c r="C10" s="38">
        <v>2015</v>
      </c>
      <c r="D10" s="38">
        <v>10</v>
      </c>
      <c r="E10" s="35">
        <v>299297</v>
      </c>
      <c r="F10" s="20">
        <f>E10/D10</f>
        <v>29929.7</v>
      </c>
      <c r="G10" s="10" t="s">
        <v>4</v>
      </c>
      <c r="H10" s="1"/>
    </row>
    <row r="11" spans="1:8" ht="26.25" x14ac:dyDescent="0.25">
      <c r="A11" s="1"/>
      <c r="B11" s="40" t="s">
        <v>110</v>
      </c>
      <c r="C11" s="38">
        <v>2015</v>
      </c>
      <c r="D11" s="38">
        <v>25</v>
      </c>
      <c r="E11" s="35">
        <v>143160</v>
      </c>
      <c r="F11" s="20">
        <f t="shared" ref="F11:F12" si="0">E11/D11</f>
        <v>5726.4</v>
      </c>
      <c r="G11" s="10" t="s">
        <v>4</v>
      </c>
      <c r="H11" s="1"/>
    </row>
    <row r="12" spans="1:8" x14ac:dyDescent="0.25">
      <c r="A12" s="1"/>
      <c r="B12" s="40" t="s">
        <v>111</v>
      </c>
      <c r="C12" s="38">
        <v>2015</v>
      </c>
      <c r="D12" s="38">
        <v>75</v>
      </c>
      <c r="E12" s="35">
        <v>13781</v>
      </c>
      <c r="F12" s="20">
        <f t="shared" si="0"/>
        <v>183.74666666666667</v>
      </c>
      <c r="G12" s="10" t="s">
        <v>4</v>
      </c>
      <c r="H12" s="1"/>
    </row>
    <row r="13" spans="1:8" x14ac:dyDescent="0.25">
      <c r="A13" s="1"/>
      <c r="B13" s="74" t="s">
        <v>5</v>
      </c>
      <c r="C13" s="75"/>
      <c r="D13" s="75"/>
      <c r="E13" s="76"/>
      <c r="F13" s="33">
        <f>SUM(F10:F12)</f>
        <v>35839.846666666665</v>
      </c>
      <c r="G13" s="18" t="s">
        <v>4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</sheetData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2018-05-31T10:31:31Z</dcterms:modified>
</cp:coreProperties>
</file>