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4970" yWindow="360" windowWidth="13680" windowHeight="14340" tabRatio="838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5" i="7" l="1"/>
  <c r="G14" i="7" l="1"/>
  <c r="G16" i="7" l="1"/>
  <c r="G20" i="7" s="1"/>
  <c r="G11" i="7"/>
  <c r="G13" i="9" l="1"/>
  <c r="G10" i="9" l="1"/>
  <c r="G30" i="13"/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49" i="11"/>
  <c r="F10" i="11"/>
  <c r="F50" i="11" s="1"/>
  <c r="G35" i="12" s="1"/>
  <c r="G13" i="10"/>
  <c r="E15" i="2" s="1"/>
  <c r="G15" i="2" s="1"/>
  <c r="G12" i="9"/>
  <c r="G14" i="9" s="1"/>
  <c r="G9" i="9"/>
  <c r="G11" i="9" s="1"/>
  <c r="G2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<sst xmlns="http://schemas.openxmlformats.org/spreadsheetml/2006/main" count="306" uniqueCount="156">
  <si>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</si>
  <si>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</si>
  <si>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</si>
  <si>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</si>
  <si>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</si>
  <si>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</si>
  <si>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</si>
  <si>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</si>
  <si>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</si>
  <si>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</si>
  <si>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</si>
  <si>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</si>
  <si>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</si>
  <si>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</si>
  <si>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</si>
  <si>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</si>
  <si>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</si>
  <si>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</si>
  <si>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</si>
  <si>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</si>
  <si>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</si>
  <si>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</si>
  <si>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</si>
  <si>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</si>
  <si>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</si>
  <si>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</si>
  <si>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</si>
  <si>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</si>
  <si>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</si>
  <si>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</si>
  <si>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</si>
  <si>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</si>
  <si>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</si>
  <si>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</si>
  <si>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</si>
  <si>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</si>
  <si>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</si>
  <si>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</si>
  <si>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</si>
  <si>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</si>
  <si>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</si>
  <si>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</si>
  <si>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</si>
  <si>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</si>
  <si>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</si>
  <si>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</si>
  <si>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</si>
  <si>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</si>
  <si>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</si>
  <si>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</si>
  <si>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</si>
  <si>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</si>
  <si>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</si>
  <si>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</si>
  <si>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</si>
  <si>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</si>
  <si>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</si>
  <si>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</si>
  <si>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</si>
  <si>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</si>
  <si>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</si>
  <si>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</si>
  <si>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</si>
  <si>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</si>
  <si>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</si>
  <si>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</si>
  <si>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</si>
  <si>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</si>
  <si>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</si>
  <si>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</si>
  <si>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</si>
  <si>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</si>
  <si>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</si>
  <si>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</si>
  <si>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</si>
  <si>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</si>
  <si>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</si>
  <si>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</si>
  <si>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</si>
  <si>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</si>
  <si>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</si>
  <si>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</si>
  <si>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</si>
  <si>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</si>
  <si>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</si>
  <si>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</si>
  <si>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</si>
  <si>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</si>
  <si>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</si>
  <si>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</si>
  <si>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</si>
  <si>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</si>
  <si>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</si>
  <si>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</si>
  <si>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</si>
  <si>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</si>
  <si>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</si>
  <si>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</si>
  <si>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</si>
  <si>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</si>
  <si>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</si>
  <si>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</si>
  <si>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</si>
  <si>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</si>
  <si>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</si>
  <si>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</si>
  <si>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</si>
  <si>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</si>
  <si>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</si>
  <si>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</si>
  <si>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SRO</t>
  </si>
  <si>
    <t>Brønde</t>
  </si>
  <si>
    <t>Køretøjer, entreprenørmaskiner</t>
  </si>
  <si>
    <t>Køretøjer, personbil</t>
  </si>
  <si>
    <t>Andre bygninger (tekniske installationer, målere mv.)</t>
  </si>
  <si>
    <t xml:space="preserve">Ledningsnet ≤ Ø 200 mm </t>
  </si>
  <si>
    <t>Overbygning</t>
  </si>
  <si>
    <t>Pumpestationer i brønde (&lt; 6,25 m2), Konstruktioner</t>
  </si>
  <si>
    <t>Stik</t>
  </si>
  <si>
    <t>Tryksatte minipumpestationer (husstandssystemer)</t>
  </si>
  <si>
    <t>Strømpeforing ≤ Ø 200 mm</t>
  </si>
  <si>
    <t>Beluftningstanke, Konstruktioner</t>
  </si>
  <si>
    <t>Beluftningstanke, Mek/EL</t>
  </si>
  <si>
    <t>Efterbehandlingsanlæg (sandfilter), Konstruktioner</t>
  </si>
  <si>
    <t>Efterbehandlingsanlæg (sandfilter), Mek/EL</t>
  </si>
  <si>
    <t>Efterbehandlingsanlæg (sandfilter), SRO</t>
  </si>
  <si>
    <t>Efterklaringstanke, Mek/El</t>
  </si>
  <si>
    <t>Efterklaringstanke, SRO</t>
  </si>
  <si>
    <t>Forafvanding, slam, Mek/EL</t>
  </si>
  <si>
    <t>Forsinkelsesbassiner, lukkede med automatisk rensning og SRO Miljøklasse A (500-1.000 m3) - Mek/EL</t>
  </si>
  <si>
    <t>Indløb med riste, Konstruktioner</t>
  </si>
  <si>
    <t>Indløb med riste, Mek/EL</t>
  </si>
  <si>
    <t>Indløb med riste, SRO</t>
  </si>
  <si>
    <t>Mindre renseanlæg &lt; 5.000 PE uden mulighed for opdeling</t>
  </si>
  <si>
    <t>Pumpestationer i brønde (&lt; 6,25 m2), Mek/EL</t>
  </si>
  <si>
    <t>Pumpestationer i brønde (&lt; 6,25 m2), SRO</t>
  </si>
  <si>
    <t>Sand- og fedtfang, Kontruktioner</t>
  </si>
  <si>
    <t>Sand- og fedtfang, Mek/EL</t>
  </si>
  <si>
    <t>Sand- og fedtfang,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</si>
  <si>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</si>
  <si>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</si>
  <si>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</si>
  <si>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</si>
  <si>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</si>
  <si>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</si>
  <si>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</si>
  <si>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</si>
  <si>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 xml:space="preserve">Grundlag i den økonomiske ramme for 2017 for Rudersdal Forsyning </t>
  </si>
  <si>
    <t>Anlægsomkostninger inkl. finansielle omkostninger som følge af overtagelser af private kloakanlæg</t>
  </si>
  <si>
    <t xml:space="preserve">Grundlag i den økonomiske ramme for 2017 efter overtagelser af private kloakanlæg </t>
  </si>
  <si>
    <t xml:space="preserve">Samlede anlægsomkostninger </t>
  </si>
  <si>
    <t>Beregningen af de enkelte komponenter i grundlaget for Rudersdal Forsyning fremgår af bilag B.</t>
  </si>
  <si>
    <t>Beregningen af anlægsomkostningerne for overtagelse af private kloakanlæg ved Nærumgårdsvej fremgår af bilag 1.</t>
  </si>
  <si>
    <t>Beregningen af anlægsomkostningerne for overtagelse af private kloakanlæg ved Henriksholms Alle fremgår af bilag 2.</t>
  </si>
  <si>
    <t xml:space="preserve">Nærumgårdsvej (2017-prisniveau) </t>
  </si>
  <si>
    <t>Henriksholms Alle (2017-prisniveau)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</si>
</sst>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2" borderId="0" xfId="0" applyFont="1" applyFill="1" applyAlignment="1" applyProtection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108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146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107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Grundlag'!G22</f>
        <v>73201573.689730451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Grundlag'!G21</f>
        <v>12561648.838691678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821873.2051874951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72379700.484542951</v>
      </c>
      <c r="F13" s="38" t="s">
        <v>4</v>
      </c>
      <c r="G13" s="37">
        <f>E13</f>
        <v>72379700.484542951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106</v>
      </c>
      <c r="C15" s="82"/>
      <c r="D15" s="83"/>
      <c r="E15" s="37">
        <f>'Fane 6. Hist. over el. underdæk'!G13</f>
        <v>603171.5</v>
      </c>
      <c r="F15" s="38" t="s">
        <v>4</v>
      </c>
      <c r="G15" s="37">
        <f>E15</f>
        <v>603171.5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370482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-212953.99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97</v>
      </c>
      <c r="C19" s="79"/>
      <c r="D19" s="80"/>
      <c r="E19" s="31">
        <f>'Fane 8. Korrektion af PL2015'!G23</f>
        <v>-460326.15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8" t="s">
        <v>34</v>
      </c>
      <c r="C20" s="79"/>
      <c r="D20" s="80"/>
      <c r="E20" s="31">
        <f>'Fane 8. Korrektion af PL2015'!G29</f>
        <v>-108117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8" t="s">
        <v>35</v>
      </c>
      <c r="C21" s="79"/>
      <c r="D21" s="80"/>
      <c r="E21" s="31">
        <f>'Fane 8. Korrektion af PL2015'!G36</f>
        <v>139711.63666666648</v>
      </c>
      <c r="F21" s="28" t="s">
        <v>4</v>
      </c>
      <c r="G21" s="35"/>
      <c r="H21" s="36"/>
      <c r="I21" s="20"/>
    </row>
    <row r="22" spans="1:9" x14ac:dyDescent="0.25">
      <c r="A22" s="20"/>
      <c r="B22" s="81" t="s">
        <v>36</v>
      </c>
      <c r="C22" s="82"/>
      <c r="D22" s="83"/>
      <c r="E22" s="37">
        <f>SUM(E17:E21)</f>
        <v>-271203.50333333353</v>
      </c>
      <c r="F22" s="38" t="s">
        <v>4</v>
      </c>
      <c r="G22" s="37">
        <f>E22</f>
        <v>-271203.50333333353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1" t="s">
        <v>31</v>
      </c>
      <c r="C24" s="82"/>
      <c r="D24" s="83"/>
      <c r="E24" s="37">
        <f>'Fane 9. Kontrol af PL2015'!G36</f>
        <v>-1430332</v>
      </c>
      <c r="F24" s="38" t="s">
        <v>4</v>
      </c>
      <c r="G24" s="37">
        <f>E24</f>
        <v>-1430332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71281336.481209621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  <mergeCell ref="B17:D17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5"/>
  <sheetViews>
    <sheetView view="pageLayout" zoomScaleNormal="100" workbookViewId="0">
      <selection activeCell="B13" sqref="B13:H13"/>
    </sheetView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75" t="s">
        <v>147</v>
      </c>
      <c r="C7" s="76"/>
      <c r="D7" s="76"/>
      <c r="E7" s="76"/>
      <c r="F7" s="76"/>
      <c r="G7" s="76"/>
      <c r="H7" s="77"/>
      <c r="I7" s="20"/>
    </row>
    <row r="8" spans="1:9" x14ac:dyDescent="0.25">
      <c r="A8" s="20"/>
      <c r="B8" s="85" t="s">
        <v>98</v>
      </c>
      <c r="C8" s="86"/>
      <c r="D8" s="86"/>
      <c r="E8" s="86"/>
      <c r="F8" s="87"/>
      <c r="G8" s="46">
        <v>24775219.178260762</v>
      </c>
      <c r="H8" s="42" t="s">
        <v>4</v>
      </c>
      <c r="I8" s="20"/>
    </row>
    <row r="9" spans="1:9" x14ac:dyDescent="0.25">
      <c r="A9" s="20"/>
      <c r="B9" s="85" t="s">
        <v>99</v>
      </c>
      <c r="C9" s="86"/>
      <c r="D9" s="86"/>
      <c r="E9" s="86"/>
      <c r="F9" s="87"/>
      <c r="G9" s="46">
        <v>35730050.796486385</v>
      </c>
      <c r="H9" s="42" t="s">
        <v>4</v>
      </c>
      <c r="I9" s="20"/>
    </row>
    <row r="10" spans="1:9" x14ac:dyDescent="0.25">
      <c r="A10" s="20"/>
      <c r="B10" s="85" t="s">
        <v>100</v>
      </c>
      <c r="C10" s="86"/>
      <c r="D10" s="86"/>
      <c r="E10" s="86"/>
      <c r="F10" s="87"/>
      <c r="G10" s="46">
        <v>12561648.838691678</v>
      </c>
      <c r="H10" s="42" t="s">
        <v>4</v>
      </c>
      <c r="I10" s="20"/>
    </row>
    <row r="11" spans="1:9" x14ac:dyDescent="0.25">
      <c r="A11" s="20"/>
      <c r="B11" s="75" t="s">
        <v>39</v>
      </c>
      <c r="C11" s="76"/>
      <c r="D11" s="76"/>
      <c r="E11" s="76"/>
      <c r="F11" s="77"/>
      <c r="G11" s="40">
        <f>SUM(G8:G10)</f>
        <v>73066918.813438833</v>
      </c>
      <c r="H11" s="41" t="s">
        <v>4</v>
      </c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ht="25.5" customHeight="1" x14ac:dyDescent="0.25">
      <c r="A13" s="20"/>
      <c r="B13" s="92" t="s">
        <v>148</v>
      </c>
      <c r="C13" s="93"/>
      <c r="D13" s="93"/>
      <c r="E13" s="93"/>
      <c r="F13" s="93"/>
      <c r="G13" s="93"/>
      <c r="H13" s="94"/>
      <c r="I13" s="20"/>
    </row>
    <row r="14" spans="1:9" x14ac:dyDescent="0.25">
      <c r="A14" s="20"/>
      <c r="B14" s="85" t="s">
        <v>154</v>
      </c>
      <c r="C14" s="86"/>
      <c r="D14" s="86"/>
      <c r="E14" s="86"/>
      <c r="F14" s="87"/>
      <c r="G14" s="46">
        <f>18316*1.0111*1.005*1.023*1.031*1.015*1.0008*0.9962*1.0127</f>
        <v>20117.119341568588</v>
      </c>
      <c r="H14" s="42" t="s">
        <v>4</v>
      </c>
      <c r="I14" s="20"/>
    </row>
    <row r="15" spans="1:9" x14ac:dyDescent="0.25">
      <c r="A15" s="20"/>
      <c r="B15" s="85" t="s">
        <v>155</v>
      </c>
      <c r="C15" s="86"/>
      <c r="D15" s="86"/>
      <c r="E15" s="86"/>
      <c r="F15" s="87"/>
      <c r="G15" s="46">
        <f>104283*1.0111*1.005*1.023*1.031*1.015*1.0008*0.9962*1.0127</f>
        <v>114537.75695003259</v>
      </c>
      <c r="H15" s="42" t="s">
        <v>4</v>
      </c>
      <c r="I15" s="20"/>
    </row>
    <row r="16" spans="1:9" x14ac:dyDescent="0.25">
      <c r="A16" s="20"/>
      <c r="B16" s="75" t="s">
        <v>150</v>
      </c>
      <c r="C16" s="76"/>
      <c r="D16" s="76"/>
      <c r="E16" s="76"/>
      <c r="F16" s="77"/>
      <c r="G16" s="40">
        <f>SUM(G14:G15)</f>
        <v>134654.87629160119</v>
      </c>
      <c r="H16" s="41" t="s">
        <v>4</v>
      </c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75" t="s">
        <v>149</v>
      </c>
      <c r="C18" s="76"/>
      <c r="D18" s="76"/>
      <c r="E18" s="76"/>
      <c r="F18" s="76"/>
      <c r="G18" s="76"/>
      <c r="H18" s="77"/>
      <c r="I18" s="20"/>
    </row>
    <row r="19" spans="1:9" x14ac:dyDescent="0.25">
      <c r="A19" s="20"/>
      <c r="B19" s="85" t="s">
        <v>98</v>
      </c>
      <c r="C19" s="86"/>
      <c r="D19" s="86"/>
      <c r="E19" s="86"/>
      <c r="F19" s="87"/>
      <c r="G19" s="46">
        <v>24775219.178260762</v>
      </c>
      <c r="H19" s="42" t="s">
        <v>4</v>
      </c>
      <c r="I19" s="20"/>
    </row>
    <row r="20" spans="1:9" x14ac:dyDescent="0.25">
      <c r="A20" s="20"/>
      <c r="B20" s="85" t="s">
        <v>99</v>
      </c>
      <c r="C20" s="86"/>
      <c r="D20" s="86"/>
      <c r="E20" s="86"/>
      <c r="F20" s="87"/>
      <c r="G20" s="46">
        <f>35730050.7964864+G16</f>
        <v>35864705.672778003</v>
      </c>
      <c r="H20" s="42" t="s">
        <v>4</v>
      </c>
      <c r="I20" s="20"/>
    </row>
    <row r="21" spans="1:9" x14ac:dyDescent="0.25">
      <c r="A21" s="20"/>
      <c r="B21" s="85" t="s">
        <v>100</v>
      </c>
      <c r="C21" s="86"/>
      <c r="D21" s="86"/>
      <c r="E21" s="86"/>
      <c r="F21" s="87"/>
      <c r="G21" s="46">
        <v>12561648.838691678</v>
      </c>
      <c r="H21" s="42" t="s">
        <v>4</v>
      </c>
      <c r="I21" s="20"/>
    </row>
    <row r="22" spans="1:9" x14ac:dyDescent="0.25">
      <c r="A22" s="20"/>
      <c r="B22" s="75" t="s">
        <v>39</v>
      </c>
      <c r="C22" s="76"/>
      <c r="D22" s="76"/>
      <c r="E22" s="76"/>
      <c r="F22" s="77"/>
      <c r="G22" s="40">
        <f>SUM(G19:G21)</f>
        <v>73201573.689730451</v>
      </c>
      <c r="H22" s="41" t="s">
        <v>4</v>
      </c>
      <c r="I22" s="20"/>
    </row>
    <row r="23" spans="1:9" x14ac:dyDescent="0.25">
      <c r="A23" s="20"/>
      <c r="B23" s="43"/>
      <c r="C23" s="43"/>
      <c r="D23" s="43"/>
      <c r="E23" s="43"/>
      <c r="F23" s="43"/>
      <c r="G23" s="43"/>
      <c r="H23" s="43"/>
      <c r="I23" s="20"/>
    </row>
    <row r="24" spans="1:9" ht="17.25" customHeight="1" x14ac:dyDescent="0.25">
      <c r="A24" s="20"/>
      <c r="B24" s="44" t="s">
        <v>151</v>
      </c>
      <c r="C24" s="43"/>
      <c r="D24" s="43"/>
      <c r="E24" s="43"/>
      <c r="F24" s="43"/>
      <c r="G24" s="43"/>
      <c r="H24" s="43"/>
      <c r="I24" s="20"/>
    </row>
    <row r="25" spans="1:9" ht="27" customHeight="1" x14ac:dyDescent="0.25">
      <c r="A25" s="20"/>
      <c r="B25" s="95" t="s">
        <v>152</v>
      </c>
      <c r="C25" s="95"/>
      <c r="D25" s="95"/>
      <c r="E25" s="95"/>
      <c r="F25" s="95"/>
      <c r="G25" s="95"/>
      <c r="H25" s="43"/>
      <c r="I25" s="20"/>
    </row>
    <row r="26" spans="1:9" ht="27" customHeight="1" x14ac:dyDescent="0.25">
      <c r="A26" s="20"/>
      <c r="B26" s="95" t="s">
        <v>153</v>
      </c>
      <c r="C26" s="95"/>
      <c r="D26" s="95"/>
      <c r="E26" s="95"/>
      <c r="F26" s="95"/>
      <c r="G26" s="95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  <row r="49" spans="1:9" x14ac:dyDescent="0.25">
      <c r="A49" s="26"/>
      <c r="B49" s="26"/>
      <c r="C49" s="26"/>
      <c r="D49" s="26"/>
      <c r="E49" s="26"/>
      <c r="F49" s="26"/>
      <c r="G49" s="26"/>
      <c r="H49" s="26"/>
      <c r="I49" s="26"/>
    </row>
    <row r="50" spans="1:9" x14ac:dyDescent="0.25">
      <c r="A50" s="26"/>
      <c r="B50" s="26"/>
      <c r="C50" s="26"/>
      <c r="D50" s="26"/>
      <c r="E50" s="26"/>
      <c r="F50" s="26"/>
      <c r="G50" s="26"/>
      <c r="H50" s="26"/>
      <c r="I50" s="26"/>
    </row>
    <row r="51" spans="1:9" x14ac:dyDescent="0.25">
      <c r="A51" s="26"/>
      <c r="B51" s="26"/>
      <c r="C51" s="26"/>
      <c r="D51" s="26"/>
      <c r="E51" s="26"/>
      <c r="F51" s="26"/>
      <c r="G51" s="26"/>
      <c r="H51" s="26"/>
      <c r="I51" s="26"/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  <row r="54" spans="1:9" x14ac:dyDescent="0.25">
      <c r="A54" s="26"/>
      <c r="B54" s="26"/>
      <c r="C54" s="26"/>
      <c r="D54" s="26"/>
      <c r="E54" s="26"/>
      <c r="F54" s="26"/>
      <c r="G54" s="26"/>
      <c r="H54" s="26"/>
      <c r="I54" s="26"/>
    </row>
    <row r="55" spans="1:9" x14ac:dyDescent="0.25">
      <c r="A55" s="26"/>
      <c r="B55" s="26"/>
      <c r="C55" s="26"/>
      <c r="D55" s="26"/>
      <c r="E55" s="26"/>
      <c r="F55" s="26"/>
      <c r="G55" s="26"/>
      <c r="H55" s="26"/>
      <c r="I55" s="26"/>
    </row>
  </sheetData>
  <mergeCells count="17">
    <mergeCell ref="B25:G25"/>
    <mergeCell ref="B26:G26"/>
    <mergeCell ref="B22:F22"/>
    <mergeCell ref="B18:H18"/>
    <mergeCell ref="B3:H4"/>
    <mergeCell ref="B21:F21"/>
    <mergeCell ref="B20:F20"/>
    <mergeCell ref="B19:F19"/>
    <mergeCell ref="B7:H7"/>
    <mergeCell ref="B8:F8"/>
    <mergeCell ref="B9:F9"/>
    <mergeCell ref="B10:F10"/>
    <mergeCell ref="B11:F11"/>
    <mergeCell ref="B13:H13"/>
    <mergeCell ref="B14:F14"/>
    <mergeCell ref="B15:F15"/>
    <mergeCell ref="B16:F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101</v>
      </c>
      <c r="C9" s="101"/>
      <c r="D9" s="101"/>
      <c r="E9" s="101"/>
      <c r="F9" s="102"/>
      <c r="G9" s="10">
        <f>'Fane 3. Grundlag'!G22-'Fane 3. Grundlag'!G21</f>
        <v>60639924.851038769</v>
      </c>
      <c r="H9" s="3" t="s">
        <v>4</v>
      </c>
      <c r="I9" s="1"/>
    </row>
    <row r="10" spans="1:9" x14ac:dyDescent="0.25">
      <c r="A10" s="1"/>
      <c r="B10" s="100" t="s">
        <v>66</v>
      </c>
      <c r="C10" s="101"/>
      <c r="D10" s="101"/>
      <c r="E10" s="101"/>
      <c r="F10" s="102"/>
      <c r="G10" s="53">
        <v>0</v>
      </c>
      <c r="H10" s="3" t="s">
        <v>67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>
      <selection activeCell="D19" sqref="D19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103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98</v>
      </c>
      <c r="C9" s="107"/>
      <c r="D9" s="107"/>
      <c r="E9" s="107"/>
      <c r="F9" s="108"/>
      <c r="G9" s="10">
        <f>'Fane 3. Grundlag'!G19</f>
        <v>24775219.178260762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67</v>
      </c>
      <c r="I10" s="1"/>
    </row>
    <row r="11" spans="1:9" x14ac:dyDescent="0.25">
      <c r="A11" s="1"/>
      <c r="B11" s="103" t="s">
        <v>68</v>
      </c>
      <c r="C11" s="104"/>
      <c r="D11" s="104"/>
      <c r="E11" s="104"/>
      <c r="F11" s="105"/>
      <c r="G11" s="17">
        <f>$G$9*$G$10/100</f>
        <v>495504.38356521522</v>
      </c>
      <c r="H11" s="6" t="s">
        <v>4</v>
      </c>
      <c r="I11" s="1"/>
    </row>
    <row r="12" spans="1:9" x14ac:dyDescent="0.25">
      <c r="A12" s="1"/>
      <c r="B12" s="100" t="s">
        <v>99</v>
      </c>
      <c r="C12" s="101"/>
      <c r="D12" s="101"/>
      <c r="E12" s="101"/>
      <c r="F12" s="102"/>
      <c r="G12" s="10">
        <f>'Fane 3. Grundlag'!G20</f>
        <v>35864705.672778003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67</v>
      </c>
      <c r="I13" s="1"/>
    </row>
    <row r="14" spans="1:9" x14ac:dyDescent="0.25">
      <c r="A14" s="1"/>
      <c r="B14" s="103" t="s">
        <v>69</v>
      </c>
      <c r="C14" s="104"/>
      <c r="D14" s="104"/>
      <c r="E14" s="104"/>
      <c r="F14" s="105"/>
      <c r="G14" s="17">
        <f>$G$12*$G$13/100</f>
        <v>326368.82162227982</v>
      </c>
      <c r="H14" s="6" t="s">
        <v>4</v>
      </c>
      <c r="I14" s="1"/>
    </row>
    <row r="15" spans="1:9" x14ac:dyDescent="0.25">
      <c r="A15" s="1"/>
      <c r="B15" s="97" t="s">
        <v>102</v>
      </c>
      <c r="C15" s="98"/>
      <c r="D15" s="98"/>
      <c r="E15" s="98"/>
      <c r="F15" s="99"/>
      <c r="G15" s="18">
        <f>G11+G14</f>
        <v>821873.2051874951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105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71</v>
      </c>
      <c r="C9" s="101"/>
      <c r="D9" s="101"/>
      <c r="E9" s="101"/>
      <c r="F9" s="102"/>
      <c r="G9" s="46">
        <v>6118695</v>
      </c>
      <c r="H9" s="3" t="s">
        <v>4</v>
      </c>
      <c r="I9" s="1"/>
    </row>
    <row r="10" spans="1:9" x14ac:dyDescent="0.25">
      <c r="A10" s="1"/>
      <c r="B10" s="100" t="s">
        <v>72</v>
      </c>
      <c r="C10" s="101"/>
      <c r="D10" s="101"/>
      <c r="E10" s="101"/>
      <c r="F10" s="102"/>
      <c r="G10" s="46">
        <v>3706009</v>
      </c>
      <c r="H10" s="3" t="s">
        <v>4</v>
      </c>
      <c r="I10" s="1"/>
    </row>
    <row r="11" spans="1:9" x14ac:dyDescent="0.25">
      <c r="A11" s="1"/>
      <c r="B11" s="109" t="s">
        <v>87</v>
      </c>
      <c r="C11" s="110"/>
      <c r="D11" s="110"/>
      <c r="E11" s="110"/>
      <c r="F11" s="111"/>
      <c r="G11" s="48">
        <v>2412686</v>
      </c>
      <c r="H11" s="12" t="s">
        <v>4</v>
      </c>
      <c r="I11" s="1"/>
    </row>
    <row r="12" spans="1:9" x14ac:dyDescent="0.25">
      <c r="A12" s="1"/>
      <c r="B12" s="100" t="s">
        <v>73</v>
      </c>
      <c r="C12" s="101"/>
      <c r="D12" s="101"/>
      <c r="E12" s="101"/>
      <c r="F12" s="102"/>
      <c r="G12" s="46">
        <v>4</v>
      </c>
      <c r="H12" s="3" t="s">
        <v>4</v>
      </c>
      <c r="I12" s="1"/>
    </row>
    <row r="13" spans="1:9" x14ac:dyDescent="0.25">
      <c r="A13" s="1"/>
      <c r="B13" s="97" t="s">
        <v>70</v>
      </c>
      <c r="C13" s="98"/>
      <c r="D13" s="98"/>
      <c r="E13" s="98"/>
      <c r="F13" s="99"/>
      <c r="G13" s="18">
        <f>G11/G12</f>
        <v>603171.5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2" t="s">
        <v>3</v>
      </c>
      <c r="G9" s="112"/>
      <c r="H9" s="1"/>
    </row>
    <row r="10" spans="1:8" x14ac:dyDescent="0.25">
      <c r="A10" s="1"/>
      <c r="B10" s="50" t="s">
        <v>109</v>
      </c>
      <c r="C10" s="47">
        <v>2015</v>
      </c>
      <c r="D10" s="47">
        <v>5</v>
      </c>
      <c r="E10" s="46">
        <v>269262</v>
      </c>
      <c r="F10" s="10">
        <f>E10/D10</f>
        <v>53852.4</v>
      </c>
      <c r="G10" s="3" t="s">
        <v>4</v>
      </c>
      <c r="H10" s="1"/>
    </row>
    <row r="11" spans="1:8" x14ac:dyDescent="0.25">
      <c r="A11" s="1"/>
      <c r="B11" s="50" t="s">
        <v>110</v>
      </c>
      <c r="C11" s="47">
        <v>2015</v>
      </c>
      <c r="D11" s="47">
        <v>10</v>
      </c>
      <c r="E11" s="46">
        <v>175860</v>
      </c>
      <c r="F11" s="10">
        <f t="shared" ref="F11:F49" si="0">E11/D11</f>
        <v>17586</v>
      </c>
      <c r="G11" s="3" t="s">
        <v>4</v>
      </c>
      <c r="H11" s="1"/>
    </row>
    <row r="12" spans="1:8" x14ac:dyDescent="0.25">
      <c r="A12" s="1"/>
      <c r="B12" s="50" t="s">
        <v>111</v>
      </c>
      <c r="C12" s="47">
        <v>2015</v>
      </c>
      <c r="D12" s="47">
        <v>75</v>
      </c>
      <c r="E12" s="46">
        <v>86000</v>
      </c>
      <c r="F12" s="10">
        <f t="shared" si="0"/>
        <v>1146.6666666666667</v>
      </c>
      <c r="G12" s="3" t="s">
        <v>4</v>
      </c>
      <c r="H12" s="1"/>
    </row>
    <row r="13" spans="1:8" x14ac:dyDescent="0.25">
      <c r="A13" s="1"/>
      <c r="B13" s="50" t="s">
        <v>112</v>
      </c>
      <c r="C13" s="47">
        <v>2015</v>
      </c>
      <c r="D13" s="47">
        <v>5</v>
      </c>
      <c r="E13" s="46">
        <v>49200</v>
      </c>
      <c r="F13" s="10">
        <f t="shared" si="0"/>
        <v>9840</v>
      </c>
      <c r="G13" s="3" t="s">
        <v>4</v>
      </c>
      <c r="H13" s="1"/>
    </row>
    <row r="14" spans="1:8" x14ac:dyDescent="0.25">
      <c r="A14" s="1"/>
      <c r="B14" s="50" t="s">
        <v>113</v>
      </c>
      <c r="C14" s="47">
        <v>2015</v>
      </c>
      <c r="D14" s="47">
        <v>5</v>
      </c>
      <c r="E14" s="46">
        <v>588247</v>
      </c>
      <c r="F14" s="10">
        <f t="shared" si="0"/>
        <v>117649.4</v>
      </c>
      <c r="G14" s="3" t="s">
        <v>4</v>
      </c>
      <c r="H14" s="1"/>
    </row>
    <row r="15" spans="1:8" x14ac:dyDescent="0.25">
      <c r="A15" s="1"/>
      <c r="B15" s="50" t="s">
        <v>114</v>
      </c>
      <c r="C15" s="47">
        <v>2015</v>
      </c>
      <c r="D15" s="47">
        <v>75</v>
      </c>
      <c r="E15" s="46">
        <v>70500</v>
      </c>
      <c r="F15" s="10">
        <f t="shared" si="0"/>
        <v>940</v>
      </c>
      <c r="G15" s="3" t="s">
        <v>4</v>
      </c>
      <c r="H15" s="1"/>
    </row>
    <row r="16" spans="1:8" x14ac:dyDescent="0.25">
      <c r="A16" s="1"/>
      <c r="B16" s="50" t="s">
        <v>115</v>
      </c>
      <c r="C16" s="47">
        <v>2015</v>
      </c>
      <c r="D16" s="47">
        <v>75</v>
      </c>
      <c r="E16" s="46">
        <v>41170</v>
      </c>
      <c r="F16" s="10">
        <f t="shared" si="0"/>
        <v>548.93333333333328</v>
      </c>
      <c r="G16" s="3" t="s">
        <v>4</v>
      </c>
      <c r="H16" s="1"/>
    </row>
    <row r="17" spans="1:8" x14ac:dyDescent="0.25">
      <c r="A17" s="1"/>
      <c r="B17" s="50" t="s">
        <v>116</v>
      </c>
      <c r="C17" s="47">
        <v>2015</v>
      </c>
      <c r="D17" s="47">
        <v>75</v>
      </c>
      <c r="E17" s="46">
        <v>554560</v>
      </c>
      <c r="F17" s="10">
        <f t="shared" si="0"/>
        <v>7394.1333333333332</v>
      </c>
      <c r="G17" s="3" t="s">
        <v>4</v>
      </c>
      <c r="H17" s="1"/>
    </row>
    <row r="18" spans="1:8" x14ac:dyDescent="0.25">
      <c r="A18" s="1"/>
      <c r="B18" s="50" t="s">
        <v>117</v>
      </c>
      <c r="C18" s="47">
        <v>2015</v>
      </c>
      <c r="D18" s="47">
        <v>50</v>
      </c>
      <c r="E18" s="46">
        <v>110425</v>
      </c>
      <c r="F18" s="10">
        <f t="shared" si="0"/>
        <v>2208.5</v>
      </c>
      <c r="G18" s="3" t="s">
        <v>4</v>
      </c>
      <c r="H18" s="1"/>
    </row>
    <row r="19" spans="1:8" x14ac:dyDescent="0.25">
      <c r="A19" s="1"/>
      <c r="B19" s="50" t="s">
        <v>118</v>
      </c>
      <c r="C19" s="47">
        <v>2015</v>
      </c>
      <c r="D19" s="47">
        <v>75</v>
      </c>
      <c r="E19" s="46">
        <v>216771</v>
      </c>
      <c r="F19" s="10">
        <f t="shared" si="0"/>
        <v>2890.28</v>
      </c>
      <c r="G19" s="3" t="s">
        <v>4</v>
      </c>
      <c r="H19" s="1"/>
    </row>
    <row r="20" spans="1:8" x14ac:dyDescent="0.25">
      <c r="A20" s="1"/>
      <c r="B20" s="50" t="s">
        <v>119</v>
      </c>
      <c r="C20" s="47">
        <v>2015</v>
      </c>
      <c r="D20" s="47">
        <v>30</v>
      </c>
      <c r="E20" s="46">
        <v>36081</v>
      </c>
      <c r="F20" s="10">
        <f t="shared" si="0"/>
        <v>1202.7</v>
      </c>
      <c r="G20" s="3" t="s">
        <v>4</v>
      </c>
      <c r="H20" s="1"/>
    </row>
    <row r="21" spans="1:8" x14ac:dyDescent="0.25">
      <c r="A21" s="1"/>
      <c r="B21" s="50" t="s">
        <v>120</v>
      </c>
      <c r="C21" s="47">
        <v>2015</v>
      </c>
      <c r="D21" s="47">
        <v>50</v>
      </c>
      <c r="E21" s="46">
        <v>9219304</v>
      </c>
      <c r="F21" s="10">
        <f t="shared" si="0"/>
        <v>184386.08</v>
      </c>
      <c r="G21" s="3" t="s">
        <v>4</v>
      </c>
      <c r="H21" s="1"/>
    </row>
    <row r="22" spans="1:8" x14ac:dyDescent="0.25">
      <c r="A22" s="1"/>
      <c r="B22" s="50" t="s">
        <v>121</v>
      </c>
      <c r="C22" s="47">
        <v>2015</v>
      </c>
      <c r="D22" s="47">
        <v>60</v>
      </c>
      <c r="E22" s="46">
        <v>231114</v>
      </c>
      <c r="F22" s="10">
        <f t="shared" si="0"/>
        <v>3851.9</v>
      </c>
      <c r="G22" s="3" t="s">
        <v>4</v>
      </c>
      <c r="H22" s="1"/>
    </row>
    <row r="23" spans="1:8" x14ac:dyDescent="0.25">
      <c r="A23" s="1"/>
      <c r="B23" s="50" t="s">
        <v>122</v>
      </c>
      <c r="C23" s="47">
        <v>2015</v>
      </c>
      <c r="D23" s="47">
        <v>20</v>
      </c>
      <c r="E23" s="46">
        <v>299936</v>
      </c>
      <c r="F23" s="10">
        <f t="shared" si="0"/>
        <v>14996.8</v>
      </c>
      <c r="G23" s="3" t="s">
        <v>4</v>
      </c>
      <c r="H23" s="1"/>
    </row>
    <row r="24" spans="1:8" x14ac:dyDescent="0.25">
      <c r="A24" s="1"/>
      <c r="B24" s="50" t="s">
        <v>110</v>
      </c>
      <c r="C24" s="47">
        <v>2015</v>
      </c>
      <c r="D24" s="47">
        <v>10</v>
      </c>
      <c r="E24" s="46">
        <v>389083</v>
      </c>
      <c r="F24" s="10">
        <f t="shared" si="0"/>
        <v>38908.300000000003</v>
      </c>
      <c r="G24" s="3" t="s">
        <v>4</v>
      </c>
      <c r="H24" s="1"/>
    </row>
    <row r="25" spans="1:8" x14ac:dyDescent="0.25">
      <c r="A25" s="1"/>
      <c r="B25" s="50" t="s">
        <v>111</v>
      </c>
      <c r="C25" s="47">
        <v>2015</v>
      </c>
      <c r="D25" s="47">
        <v>75</v>
      </c>
      <c r="E25" s="46">
        <v>1234906</v>
      </c>
      <c r="F25" s="10">
        <f t="shared" si="0"/>
        <v>16465.413333333334</v>
      </c>
      <c r="G25" s="3" t="s">
        <v>4</v>
      </c>
      <c r="H25" s="1"/>
    </row>
    <row r="26" spans="1:8" x14ac:dyDescent="0.25">
      <c r="A26" s="1"/>
      <c r="B26" s="50" t="s">
        <v>123</v>
      </c>
      <c r="C26" s="47">
        <v>2015</v>
      </c>
      <c r="D26" s="47">
        <v>60</v>
      </c>
      <c r="E26" s="46">
        <v>176951</v>
      </c>
      <c r="F26" s="10">
        <f t="shared" si="0"/>
        <v>2949.1833333333334</v>
      </c>
      <c r="G26" s="3" t="s">
        <v>4</v>
      </c>
      <c r="H26" s="1"/>
    </row>
    <row r="27" spans="1:8" x14ac:dyDescent="0.25">
      <c r="A27" s="1"/>
      <c r="B27" s="50" t="s">
        <v>124</v>
      </c>
      <c r="C27" s="47">
        <v>2015</v>
      </c>
      <c r="D27" s="47">
        <v>20</v>
      </c>
      <c r="E27" s="46">
        <v>1506</v>
      </c>
      <c r="F27" s="10">
        <f t="shared" si="0"/>
        <v>75.3</v>
      </c>
      <c r="G27" s="3" t="s">
        <v>4</v>
      </c>
      <c r="H27" s="1"/>
    </row>
    <row r="28" spans="1:8" x14ac:dyDescent="0.25">
      <c r="A28" s="1"/>
      <c r="B28" s="50" t="s">
        <v>125</v>
      </c>
      <c r="C28" s="47">
        <v>2015</v>
      </c>
      <c r="D28" s="47">
        <v>10</v>
      </c>
      <c r="E28" s="46">
        <v>44413</v>
      </c>
      <c r="F28" s="10">
        <f t="shared" si="0"/>
        <v>4441.3</v>
      </c>
      <c r="G28" s="3" t="s">
        <v>4</v>
      </c>
      <c r="H28" s="1"/>
    </row>
    <row r="29" spans="1:8" x14ac:dyDescent="0.25">
      <c r="A29" s="1"/>
      <c r="B29" s="50" t="s">
        <v>126</v>
      </c>
      <c r="C29" s="47">
        <v>2015</v>
      </c>
      <c r="D29" s="47">
        <v>20</v>
      </c>
      <c r="E29" s="46">
        <v>90863</v>
      </c>
      <c r="F29" s="10">
        <f t="shared" si="0"/>
        <v>4543.1499999999996</v>
      </c>
      <c r="G29" s="3" t="s">
        <v>4</v>
      </c>
      <c r="H29" s="1"/>
    </row>
    <row r="30" spans="1:8" x14ac:dyDescent="0.25">
      <c r="A30" s="1"/>
      <c r="B30" s="50" t="s">
        <v>127</v>
      </c>
      <c r="C30" s="47">
        <v>2015</v>
      </c>
      <c r="D30" s="47">
        <v>10</v>
      </c>
      <c r="E30" s="46">
        <v>55705</v>
      </c>
      <c r="F30" s="10">
        <f t="shared" si="0"/>
        <v>5570.5</v>
      </c>
      <c r="G30" s="3" t="s">
        <v>4</v>
      </c>
      <c r="H30" s="1"/>
    </row>
    <row r="31" spans="1:8" x14ac:dyDescent="0.25">
      <c r="A31" s="1"/>
      <c r="B31" s="50" t="s">
        <v>128</v>
      </c>
      <c r="C31" s="47">
        <v>2015</v>
      </c>
      <c r="D31" s="47">
        <v>20</v>
      </c>
      <c r="E31" s="46">
        <v>6253</v>
      </c>
      <c r="F31" s="10">
        <f t="shared" si="0"/>
        <v>312.64999999999998</v>
      </c>
      <c r="G31" s="3" t="s">
        <v>4</v>
      </c>
      <c r="H31" s="1"/>
    </row>
    <row r="32" spans="1:8" x14ac:dyDescent="0.25">
      <c r="A32" s="1"/>
      <c r="B32" s="50" t="s">
        <v>129</v>
      </c>
      <c r="C32" s="47">
        <v>2015</v>
      </c>
      <c r="D32" s="47">
        <v>20</v>
      </c>
      <c r="E32" s="46">
        <v>98845</v>
      </c>
      <c r="F32" s="10">
        <f t="shared" si="0"/>
        <v>4942.25</v>
      </c>
      <c r="G32" s="3" t="s">
        <v>4</v>
      </c>
      <c r="H32" s="1"/>
    </row>
    <row r="33" spans="1:8" x14ac:dyDescent="0.25">
      <c r="A33" s="1"/>
      <c r="B33" s="50" t="s">
        <v>130</v>
      </c>
      <c r="C33" s="47">
        <v>2015</v>
      </c>
      <c r="D33" s="47">
        <v>60</v>
      </c>
      <c r="E33" s="46">
        <v>126825</v>
      </c>
      <c r="F33" s="10">
        <f t="shared" si="0"/>
        <v>2113.75</v>
      </c>
      <c r="G33" s="3" t="s">
        <v>4</v>
      </c>
      <c r="H33" s="1"/>
    </row>
    <row r="34" spans="1:8" x14ac:dyDescent="0.25">
      <c r="A34" s="1"/>
      <c r="B34" s="50" t="s">
        <v>131</v>
      </c>
      <c r="C34" s="47">
        <v>2015</v>
      </c>
      <c r="D34" s="47">
        <v>20</v>
      </c>
      <c r="E34" s="46">
        <v>97557</v>
      </c>
      <c r="F34" s="10">
        <f t="shared" si="0"/>
        <v>4877.8500000000004</v>
      </c>
      <c r="G34" s="3" t="s">
        <v>4</v>
      </c>
      <c r="H34" s="1"/>
    </row>
    <row r="35" spans="1:8" x14ac:dyDescent="0.25">
      <c r="A35" s="1"/>
      <c r="B35" s="50" t="s">
        <v>132</v>
      </c>
      <c r="C35" s="47">
        <v>2015</v>
      </c>
      <c r="D35" s="47">
        <v>10</v>
      </c>
      <c r="E35" s="46">
        <v>102462</v>
      </c>
      <c r="F35" s="10">
        <f t="shared" si="0"/>
        <v>10246.200000000001</v>
      </c>
      <c r="G35" s="3" t="s">
        <v>4</v>
      </c>
      <c r="H35" s="1"/>
    </row>
    <row r="36" spans="1:8" x14ac:dyDescent="0.25">
      <c r="A36" s="1"/>
      <c r="B36" s="50" t="s">
        <v>115</v>
      </c>
      <c r="C36" s="47">
        <v>2015</v>
      </c>
      <c r="D36" s="47">
        <v>75</v>
      </c>
      <c r="E36" s="46">
        <v>9322447</v>
      </c>
      <c r="F36" s="10">
        <f t="shared" si="0"/>
        <v>124299.29333333333</v>
      </c>
      <c r="G36" s="3" t="s">
        <v>4</v>
      </c>
      <c r="H36" s="1"/>
    </row>
    <row r="37" spans="1:8" x14ac:dyDescent="0.25">
      <c r="A37" s="1"/>
      <c r="B37" s="50" t="s">
        <v>133</v>
      </c>
      <c r="C37" s="47">
        <v>2015</v>
      </c>
      <c r="D37" s="47">
        <v>40</v>
      </c>
      <c r="E37" s="46">
        <v>60999</v>
      </c>
      <c r="F37" s="10">
        <f t="shared" si="0"/>
        <v>1524.9749999999999</v>
      </c>
      <c r="G37" s="3" t="s">
        <v>4</v>
      </c>
      <c r="H37" s="1"/>
    </row>
    <row r="38" spans="1:8" x14ac:dyDescent="0.25">
      <c r="A38" s="1"/>
      <c r="B38" s="50" t="s">
        <v>117</v>
      </c>
      <c r="C38" s="47">
        <v>2015</v>
      </c>
      <c r="D38" s="47">
        <v>50</v>
      </c>
      <c r="E38" s="46">
        <v>619752</v>
      </c>
      <c r="F38" s="10">
        <f t="shared" si="0"/>
        <v>12395.04</v>
      </c>
      <c r="G38" s="3" t="s">
        <v>4</v>
      </c>
      <c r="H38" s="1"/>
    </row>
    <row r="39" spans="1:8" x14ac:dyDescent="0.25">
      <c r="A39" s="1"/>
      <c r="B39" s="50" t="s">
        <v>134</v>
      </c>
      <c r="C39" s="47">
        <v>2015</v>
      </c>
      <c r="D39" s="47">
        <v>20</v>
      </c>
      <c r="E39" s="46">
        <v>864202</v>
      </c>
      <c r="F39" s="10">
        <f t="shared" si="0"/>
        <v>43210.1</v>
      </c>
      <c r="G39" s="3" t="s">
        <v>4</v>
      </c>
      <c r="H39" s="1"/>
    </row>
    <row r="40" spans="1:8" x14ac:dyDescent="0.25">
      <c r="A40" s="1"/>
      <c r="B40" s="50" t="s">
        <v>135</v>
      </c>
      <c r="C40" s="47">
        <v>2015</v>
      </c>
      <c r="D40" s="47">
        <v>10</v>
      </c>
      <c r="E40" s="46">
        <v>205484</v>
      </c>
      <c r="F40" s="10">
        <f t="shared" si="0"/>
        <v>20548.400000000001</v>
      </c>
      <c r="G40" s="3" t="s">
        <v>4</v>
      </c>
      <c r="H40" s="1"/>
    </row>
    <row r="41" spans="1:8" x14ac:dyDescent="0.25">
      <c r="A41" s="1"/>
      <c r="B41" s="50" t="s">
        <v>136</v>
      </c>
      <c r="C41" s="47">
        <v>2015</v>
      </c>
      <c r="D41" s="47">
        <v>60</v>
      </c>
      <c r="E41" s="46">
        <v>250098</v>
      </c>
      <c r="F41" s="10">
        <f t="shared" si="0"/>
        <v>4168.3</v>
      </c>
      <c r="G41" s="3" t="s">
        <v>4</v>
      </c>
      <c r="H41" s="1"/>
    </row>
    <row r="42" spans="1:8" x14ac:dyDescent="0.25">
      <c r="A42" s="1"/>
      <c r="B42" s="50" t="s">
        <v>137</v>
      </c>
      <c r="C42" s="47">
        <v>2015</v>
      </c>
      <c r="D42" s="47">
        <v>20</v>
      </c>
      <c r="E42" s="46">
        <v>420724</v>
      </c>
      <c r="F42" s="10">
        <f t="shared" si="0"/>
        <v>21036.2</v>
      </c>
      <c r="G42" s="3" t="s">
        <v>4</v>
      </c>
      <c r="H42" s="1"/>
    </row>
    <row r="43" spans="1:8" x14ac:dyDescent="0.25">
      <c r="A43" s="1"/>
      <c r="B43" s="50" t="s">
        <v>138</v>
      </c>
      <c r="C43" s="47">
        <v>2015</v>
      </c>
      <c r="D43" s="47">
        <v>10</v>
      </c>
      <c r="E43" s="46">
        <v>142892</v>
      </c>
      <c r="F43" s="10">
        <f t="shared" si="0"/>
        <v>14289.2</v>
      </c>
      <c r="G43" s="3" t="s">
        <v>4</v>
      </c>
      <c r="H43" s="1"/>
    </row>
    <row r="44" spans="1:8" x14ac:dyDescent="0.25">
      <c r="A44" s="1"/>
      <c r="B44" s="50" t="s">
        <v>139</v>
      </c>
      <c r="C44" s="47">
        <v>2015</v>
      </c>
      <c r="D44" s="47">
        <v>60</v>
      </c>
      <c r="E44" s="46">
        <v>23603</v>
      </c>
      <c r="F44" s="10">
        <f t="shared" si="0"/>
        <v>393.38333333333333</v>
      </c>
      <c r="G44" s="3" t="s">
        <v>4</v>
      </c>
      <c r="H44" s="1"/>
    </row>
    <row r="45" spans="1:8" x14ac:dyDescent="0.25">
      <c r="A45" s="1"/>
      <c r="B45" s="50" t="s">
        <v>140</v>
      </c>
      <c r="C45" s="47">
        <v>2015</v>
      </c>
      <c r="D45" s="47">
        <v>20</v>
      </c>
      <c r="E45" s="46">
        <v>51360</v>
      </c>
      <c r="F45" s="10">
        <f t="shared" si="0"/>
        <v>2568</v>
      </c>
      <c r="G45" s="3" t="s">
        <v>4</v>
      </c>
      <c r="H45" s="1"/>
    </row>
    <row r="46" spans="1:8" x14ac:dyDescent="0.25">
      <c r="A46" s="1"/>
      <c r="B46" s="50" t="s">
        <v>141</v>
      </c>
      <c r="C46" s="47">
        <v>2015</v>
      </c>
      <c r="D46" s="47">
        <v>10</v>
      </c>
      <c r="E46" s="46">
        <v>82555</v>
      </c>
      <c r="F46" s="10">
        <f t="shared" si="0"/>
        <v>8255.5</v>
      </c>
      <c r="G46" s="3" t="s">
        <v>4</v>
      </c>
      <c r="H46" s="1"/>
    </row>
    <row r="47" spans="1:8" x14ac:dyDescent="0.25">
      <c r="A47" s="1"/>
      <c r="B47" s="50" t="s">
        <v>118</v>
      </c>
      <c r="C47" s="47">
        <v>2015</v>
      </c>
      <c r="D47" s="47">
        <v>75</v>
      </c>
      <c r="E47" s="46">
        <v>1350599</v>
      </c>
      <c r="F47" s="10">
        <f t="shared" si="0"/>
        <v>18007.986666666668</v>
      </c>
      <c r="G47" s="3" t="s">
        <v>4</v>
      </c>
      <c r="H47" s="1"/>
    </row>
    <row r="48" spans="1:8" x14ac:dyDescent="0.25">
      <c r="A48" s="1"/>
      <c r="B48" s="50" t="s">
        <v>119</v>
      </c>
      <c r="C48" s="47">
        <v>2015</v>
      </c>
      <c r="D48" s="47">
        <v>30</v>
      </c>
      <c r="E48" s="46">
        <v>328985</v>
      </c>
      <c r="F48" s="10">
        <f t="shared" si="0"/>
        <v>10966.166666666666</v>
      </c>
      <c r="G48" s="3" t="s">
        <v>4</v>
      </c>
      <c r="H48" s="1"/>
    </row>
    <row r="49" spans="1:8" x14ac:dyDescent="0.25">
      <c r="A49" s="1"/>
      <c r="B49" s="50" t="s">
        <v>142</v>
      </c>
      <c r="C49" s="47">
        <v>2015</v>
      </c>
      <c r="D49" s="47">
        <v>75</v>
      </c>
      <c r="E49" s="46">
        <v>106510</v>
      </c>
      <c r="F49" s="10">
        <f t="shared" si="0"/>
        <v>1420.1333333333334</v>
      </c>
      <c r="G49" s="3" t="s">
        <v>4</v>
      </c>
      <c r="H49" s="1"/>
    </row>
    <row r="50" spans="1:8" x14ac:dyDescent="0.25">
      <c r="A50" s="1"/>
      <c r="B50" s="97" t="s">
        <v>143</v>
      </c>
      <c r="C50" s="98"/>
      <c r="D50" s="98"/>
      <c r="E50" s="99"/>
      <c r="F50" s="18">
        <f>SUM(F10:F49)</f>
        <v>797022.31833333324</v>
      </c>
      <c r="G50" s="8" t="s">
        <v>4</v>
      </c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mergeCells count="4">
    <mergeCell ref="B50:E5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88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0" t="s">
        <v>75</v>
      </c>
      <c r="C9" s="101"/>
      <c r="D9" s="101"/>
      <c r="E9" s="101"/>
      <c r="F9" s="102"/>
      <c r="G9" s="46">
        <v>12304882</v>
      </c>
      <c r="H9" s="3" t="s">
        <v>4</v>
      </c>
      <c r="I9" s="1"/>
    </row>
    <row r="10" spans="1:9" x14ac:dyDescent="0.25">
      <c r="A10" s="1"/>
      <c r="B10" s="100" t="s">
        <v>76</v>
      </c>
      <c r="C10" s="101"/>
      <c r="D10" s="101"/>
      <c r="E10" s="101"/>
      <c r="F10" s="102"/>
      <c r="G10" s="46">
        <v>11934400</v>
      </c>
      <c r="H10" s="3" t="s">
        <v>4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18">
        <f>G9-G10</f>
        <v>370482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78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0" t="s">
        <v>79</v>
      </c>
      <c r="C15" s="101"/>
      <c r="D15" s="101"/>
      <c r="E15" s="101"/>
      <c r="F15" s="102"/>
      <c r="G15" s="46">
        <v>345833.01</v>
      </c>
      <c r="H15" s="3" t="s">
        <v>4</v>
      </c>
      <c r="I15" s="1"/>
    </row>
    <row r="16" spans="1:9" x14ac:dyDescent="0.25">
      <c r="A16" s="1"/>
      <c r="B16" s="100" t="s">
        <v>80</v>
      </c>
      <c r="C16" s="101"/>
      <c r="D16" s="101"/>
      <c r="E16" s="101"/>
      <c r="F16" s="102"/>
      <c r="G16" s="46">
        <v>558787</v>
      </c>
      <c r="H16" s="3" t="s">
        <v>4</v>
      </c>
      <c r="I16" s="1"/>
    </row>
    <row r="17" spans="1:9" x14ac:dyDescent="0.25">
      <c r="A17" s="1"/>
      <c r="B17" s="97" t="s">
        <v>81</v>
      </c>
      <c r="C17" s="98"/>
      <c r="D17" s="98"/>
      <c r="E17" s="98"/>
      <c r="F17" s="99"/>
      <c r="G17" s="18">
        <f>G15-G16</f>
        <v>-212953.99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89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0" t="s">
        <v>90</v>
      </c>
      <c r="C21" s="101"/>
      <c r="D21" s="101"/>
      <c r="E21" s="101"/>
      <c r="F21" s="102"/>
      <c r="G21" s="46">
        <v>139673.85</v>
      </c>
      <c r="H21" s="3" t="s">
        <v>4</v>
      </c>
      <c r="I21" s="1"/>
    </row>
    <row r="22" spans="1:9" x14ac:dyDescent="0.25">
      <c r="A22" s="1"/>
      <c r="B22" s="100" t="s">
        <v>92</v>
      </c>
      <c r="C22" s="101"/>
      <c r="D22" s="101"/>
      <c r="E22" s="101"/>
      <c r="F22" s="102"/>
      <c r="G22" s="46">
        <v>600000</v>
      </c>
      <c r="H22" s="3" t="s">
        <v>4</v>
      </c>
      <c r="I22" s="1"/>
    </row>
    <row r="23" spans="1:9" x14ac:dyDescent="0.25">
      <c r="A23" s="1"/>
      <c r="B23" s="97" t="s">
        <v>91</v>
      </c>
      <c r="C23" s="98"/>
      <c r="D23" s="98"/>
      <c r="E23" s="98"/>
      <c r="F23" s="99"/>
      <c r="G23" s="18">
        <f>G21-G22</f>
        <v>-460326.15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4" t="s">
        <v>82</v>
      </c>
      <c r="C26" s="115"/>
      <c r="D26" s="115"/>
      <c r="E26" s="115"/>
      <c r="F26" s="115"/>
      <c r="G26" s="115"/>
      <c r="H26" s="116"/>
      <c r="I26" s="1"/>
    </row>
    <row r="27" spans="1:9" ht="29.25" customHeight="1" x14ac:dyDescent="0.25">
      <c r="A27" s="1"/>
      <c r="B27" s="117" t="s">
        <v>93</v>
      </c>
      <c r="C27" s="118"/>
      <c r="D27" s="118"/>
      <c r="E27" s="118"/>
      <c r="F27" s="119"/>
      <c r="G27" s="46">
        <v>182500</v>
      </c>
      <c r="H27" s="3" t="s">
        <v>4</v>
      </c>
      <c r="I27" s="1"/>
    </row>
    <row r="28" spans="1:9" x14ac:dyDescent="0.25">
      <c r="A28" s="1"/>
      <c r="B28" s="100" t="s">
        <v>94</v>
      </c>
      <c r="C28" s="101"/>
      <c r="D28" s="101"/>
      <c r="E28" s="101"/>
      <c r="F28" s="102"/>
      <c r="G28" s="46">
        <v>290617</v>
      </c>
      <c r="H28" s="3" t="s">
        <v>4</v>
      </c>
      <c r="I28" s="1"/>
    </row>
    <row r="29" spans="1:9" ht="30" customHeight="1" x14ac:dyDescent="0.25">
      <c r="A29" s="1"/>
      <c r="B29" s="114" t="s">
        <v>95</v>
      </c>
      <c r="C29" s="115"/>
      <c r="D29" s="115"/>
      <c r="E29" s="115"/>
      <c r="F29" s="116"/>
      <c r="G29" s="18">
        <f>G27-G28</f>
        <v>-108117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4" t="s">
        <v>83</v>
      </c>
      <c r="C32" s="115"/>
      <c r="D32" s="115"/>
      <c r="E32" s="115"/>
      <c r="F32" s="115"/>
      <c r="G32" s="115"/>
      <c r="H32" s="116"/>
      <c r="I32" s="1"/>
    </row>
    <row r="33" spans="1:9" x14ac:dyDescent="0.25">
      <c r="A33" s="1"/>
      <c r="B33" s="100" t="s">
        <v>84</v>
      </c>
      <c r="C33" s="101"/>
      <c r="D33" s="101"/>
      <c r="E33" s="101"/>
      <c r="F33" s="102"/>
      <c r="G33" s="46">
        <v>647000</v>
      </c>
      <c r="H33" s="3" t="s">
        <v>4</v>
      </c>
      <c r="I33" s="1"/>
    </row>
    <row r="34" spans="1:9" x14ac:dyDescent="0.25">
      <c r="A34" s="1"/>
      <c r="B34" s="100" t="s">
        <v>85</v>
      </c>
      <c r="C34" s="101"/>
      <c r="D34" s="101"/>
      <c r="E34" s="101"/>
      <c r="F34" s="102"/>
      <c r="G34" s="46">
        <v>807333</v>
      </c>
      <c r="H34" s="3" t="s">
        <v>4</v>
      </c>
      <c r="I34" s="1"/>
    </row>
    <row r="35" spans="1:9" x14ac:dyDescent="0.25">
      <c r="A35" s="1"/>
      <c r="B35" s="100" t="s">
        <v>86</v>
      </c>
      <c r="C35" s="101"/>
      <c r="D35" s="101"/>
      <c r="E35" s="101"/>
      <c r="F35" s="102"/>
      <c r="G35" s="10">
        <f>'Fane 7. Gen. inv. i 2015'!F50</f>
        <v>797022.31833333324</v>
      </c>
      <c r="H35" s="3" t="s">
        <v>4</v>
      </c>
      <c r="I35" s="1"/>
    </row>
    <row r="36" spans="1:9" x14ac:dyDescent="0.25">
      <c r="A36" s="1"/>
      <c r="B36" s="97" t="s">
        <v>83</v>
      </c>
      <c r="C36" s="98"/>
      <c r="D36" s="98"/>
      <c r="E36" s="98"/>
      <c r="F36" s="99"/>
      <c r="G36" s="18">
        <f>G35-G33+G35-G34</f>
        <v>139711.63666666648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40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42</v>
      </c>
      <c r="C9" s="104"/>
      <c r="D9" s="104"/>
      <c r="E9" s="104"/>
      <c r="F9" s="105"/>
      <c r="G9" s="45">
        <v>72709490</v>
      </c>
      <c r="H9" s="6" t="s">
        <v>4</v>
      </c>
      <c r="I9" s="1"/>
    </row>
    <row r="10" spans="1:9" x14ac:dyDescent="0.25">
      <c r="A10" s="1"/>
      <c r="B10" s="97" t="s">
        <v>43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44</v>
      </c>
      <c r="C11" s="101"/>
      <c r="D11" s="102"/>
      <c r="E11" s="46">
        <v>29379168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45</v>
      </c>
      <c r="C12" s="101"/>
      <c r="D12" s="102"/>
      <c r="E12" s="46">
        <v>2998238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46</v>
      </c>
      <c r="C13" s="101"/>
      <c r="D13" s="102"/>
      <c r="E13" s="46">
        <v>-213422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47</v>
      </c>
      <c r="C14" s="101"/>
      <c r="D14" s="102"/>
      <c r="E14" s="46">
        <v>1971667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48</v>
      </c>
      <c r="C15" s="104"/>
      <c r="D15" s="105"/>
      <c r="E15" s="17">
        <f>SUM(E11:E14)</f>
        <v>34135651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49</v>
      </c>
      <c r="C16" s="101"/>
      <c r="D16" s="102"/>
      <c r="E16" s="46">
        <v>143105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50</v>
      </c>
      <c r="C17" s="101"/>
      <c r="D17" s="102"/>
      <c r="E17" s="46">
        <v>1541000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51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52</v>
      </c>
      <c r="C19" s="104"/>
      <c r="D19" s="105"/>
      <c r="E19" s="17">
        <f>SUM(E16:E18)</f>
        <v>1684105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7" t="s">
        <v>53</v>
      </c>
      <c r="C20" s="118"/>
      <c r="D20" s="119"/>
      <c r="E20" s="46">
        <v>-1537920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7" t="s">
        <v>54</v>
      </c>
      <c r="C21" s="118"/>
      <c r="D21" s="119"/>
      <c r="E21" s="46">
        <v>-25961819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55</v>
      </c>
      <c r="C22" s="101"/>
      <c r="D22" s="102"/>
      <c r="E22" s="46">
        <v>-2349687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56</v>
      </c>
      <c r="C23" s="101"/>
      <c r="D23" s="102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7" t="s">
        <v>57</v>
      </c>
      <c r="C24" s="118"/>
      <c r="D24" s="119"/>
      <c r="E24" s="46">
        <v>-425060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7" t="s">
        <v>58</v>
      </c>
      <c r="C25" s="118"/>
      <c r="D25" s="119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7" t="s">
        <v>59</v>
      </c>
      <c r="C26" s="118"/>
      <c r="D26" s="119"/>
      <c r="E26" s="46">
        <v>-404674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60</v>
      </c>
      <c r="C27" s="104"/>
      <c r="D27" s="105"/>
      <c r="E27" s="17">
        <f>SUM(E20:E26)</f>
        <v>-30679160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61</v>
      </c>
      <c r="C28" s="104"/>
      <c r="D28" s="105"/>
      <c r="E28" s="17">
        <f>E15+E19+E27</f>
        <v>5140596</v>
      </c>
      <c r="F28" s="6" t="s">
        <v>4</v>
      </c>
      <c r="G28" s="16">
        <f>IF(E28&lt;0,0,-E28)</f>
        <v>-5140596</v>
      </c>
      <c r="H28" s="6" t="s">
        <v>4</v>
      </c>
      <c r="I28" s="1"/>
    </row>
    <row r="29" spans="1:9" x14ac:dyDescent="0.25">
      <c r="A29" s="1"/>
      <c r="B29" s="97" t="s">
        <v>62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62</v>
      </c>
      <c r="C30" s="104"/>
      <c r="D30" s="105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20" t="s">
        <v>144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117" t="s">
        <v>145</v>
      </c>
      <c r="C32" s="118"/>
      <c r="D32" s="119"/>
      <c r="E32" s="46">
        <v>65884020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63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7" t="s">
        <v>64</v>
      </c>
      <c r="C34" s="118"/>
      <c r="D34" s="119"/>
      <c r="E34" s="46">
        <v>3115206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65</v>
      </c>
      <c r="C35" s="104"/>
      <c r="D35" s="105"/>
      <c r="E35" s="17">
        <f>SUM(E32:E34)</f>
        <v>68999226</v>
      </c>
      <c r="F35" s="6" t="s">
        <v>4</v>
      </c>
      <c r="G35" s="17">
        <f>-E35</f>
        <v>-68999226</v>
      </c>
      <c r="H35" s="6" t="s">
        <v>4</v>
      </c>
      <c r="I35" s="1"/>
    </row>
    <row r="36" spans="1:9" x14ac:dyDescent="0.25">
      <c r="A36" s="1"/>
      <c r="B36" s="97" t="s">
        <v>41</v>
      </c>
      <c r="C36" s="98"/>
      <c r="D36" s="98"/>
      <c r="E36" s="98"/>
      <c r="F36" s="99"/>
      <c r="G36" s="18">
        <f>$G$9+$G$28+$G$30+$G$35</f>
        <v>-1430332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2018-06-21T08:59:48Z</dcterms:modified>
</cp:coreProperties>
</file>