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3" i="19"/>
  <c r="E14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<sst xmlns="http://schemas.openxmlformats.org/spreadsheetml/2006/main" count="358" uniqueCount="158">
  <si>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</si>
  <si>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</si>
  <si>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</si>
  <si>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</si>
  <si>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</si>
  <si>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</si>
  <si>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</si>
  <si>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</si>
  <si>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</si>
  <si>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</si>
  <si>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</si>
  <si>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</si>
  <si>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</si>
  <si>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</si>
  <si>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</si>
  <si>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</si>
  <si>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</si>
  <si>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</si>
  <si>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</si>
  <si>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</si>
  <si>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</si>
  <si>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</si>
  <si>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</si>
  <si>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</si>
  <si>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</si>
  <si>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</si>
  <si>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</si>
  <si>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</si>
  <si>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</si>
  <si>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</si>
  <si>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</si>
  <si>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</si>
  <si>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</si>
  <si>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</si>
  <si>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</si>
  <si>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</si>
  <si>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</si>
  <si>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</si>
  <si>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</si>
  <si>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</si>
  <si>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</si>
  <si>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</si>
  <si>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</si>
  <si>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</si>
  <si>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</si>
  <si>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</si>
  <si>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</si>
  <si>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</si>
  <si>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</si>
  <si>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</si>
  <si>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</si>
  <si>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</si>
  <si>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</si>
  <si>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</si>
  <si>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</si>
  <si>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</si>
  <si>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</si>
  <si>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</si>
  <si>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</si>
  <si>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</si>
  <si>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</si>
  <si>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</si>
  <si>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</si>
  <si>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</si>
  <si>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</si>
  <si>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</si>
  <si>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</si>
  <si>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</si>
  <si>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</si>
  <si>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</si>
  <si>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</si>
  <si>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</si>
  <si>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</si>
  <si>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</si>
  <si>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</si>
  <si>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</si>
  <si>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</si>
  <si>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</si>
  <si>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</si>
  <si>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</si>
  <si>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</si>
  <si>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</si>
  <si>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</si>
  <si>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</si>
  <si>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</si>
  <si>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</si>
  <si>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</si>
  <si>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</si>
  <si>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</si>
  <si>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</si>
  <si>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</si>
  <si>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</si>
  <si>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</si>
  <si>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</si>
  <si>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</si>
  <si>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</si>
  <si>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</si>
  <si>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</si>
  <si>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</si>
  <si>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</si>
  <si>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</si>
  <si>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</si>
  <si>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</si>
  <si>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</si>
  <si>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</si>
  <si>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</si>
  <si>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</si>
  <si>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</si>
  <si>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</si>
  <si>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</si>
  <si>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</si>
  <si>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</si>
  <si>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</si>
  <si>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</si>
  <si>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</si>
  <si>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</si>
  <si>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</si>
  <si>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</si>
  <si>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</si>
  <si>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</si>
  <si>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</si>
  <si>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</si>
  <si>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</si>
  <si>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</si>
  <si>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</si>
  <si>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</si>
  <si>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</si>
  <si>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</si>
  <si>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</si>
  <si>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</si>
  <si>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</si>
  <si>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</si>
  <si>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</si>
  <si>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</si>
  <si>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</si>
  <si>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</si>
  <si>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</si>
  <si>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</si>
  <si>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</si>
  <si>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</si>
  <si>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</si>
  <si>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</si>
  <si>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</si>
  <si>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</si>
  <si>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</si>
  <si>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</si>
  <si>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</si>
  <si>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</si>
  <si>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</si>
  <si>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Fane 13: Nøgletal</t>
  </si>
  <si>
    <t>Ingen anlægsprojekter</t>
  </si>
  <si>
    <t>Spildevandsafgift</t>
  </si>
  <si>
    <t>Afgift til Forsyningsekretariatet</t>
  </si>
  <si>
    <t>Skatter og afgifter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</si>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</sst>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8" fillId="9" borderId="2" xfId="0" applyFont="1" applyFill="1" applyBorder="1" applyAlignment="1" applyProtection="1">
      <protection locked="0"/>
    </xf>
    <xf numFmtId="0" fontId="8" fillId="9" borderId="10" xfId="0" applyFont="1" applyFill="1" applyBorder="1" applyAlignment="1" applyProtection="1">
      <protection locked="0"/>
    </xf>
    <xf numFmtId="0" fontId="8" fillId="9" borderId="3" xfId="0" applyFont="1" applyFill="1" applyBorder="1" applyAlignment="1" applyProtection="1">
      <protection locked="0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3" fontId="8" fillId="9" borderId="1" xfId="0" applyNumberFormat="1" applyFont="1" applyFill="1" applyBorder="1" applyAlignment="1" applyProtection="1">
      <alignment wrapText="1"/>
      <protection locked="0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4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4" t="s">
        <v>104</v>
      </c>
      <c r="E8" s="74"/>
      <c r="F8" s="74"/>
      <c r="G8" s="7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3" t="s">
        <v>5</v>
      </c>
      <c r="E11" s="73"/>
      <c r="F11" s="73"/>
      <c r="G11" s="7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81" t="s">
        <v>32</v>
      </c>
      <c r="E13" s="82"/>
      <c r="F13" s="82"/>
      <c r="G13" s="83"/>
      <c r="H13" s="1"/>
      <c r="I13" s="1"/>
    </row>
    <row r="14" spans="1:9" x14ac:dyDescent="0.25">
      <c r="A14" s="1"/>
      <c r="B14" s="1"/>
      <c r="C14" s="6" t="s">
        <v>31</v>
      </c>
      <c r="D14" s="81" t="s">
        <v>97</v>
      </c>
      <c r="E14" s="82"/>
      <c r="F14" s="82"/>
      <c r="G14" s="83"/>
      <c r="H14" s="1"/>
      <c r="I14" s="1"/>
    </row>
    <row r="15" spans="1:9" x14ac:dyDescent="0.25">
      <c r="A15" s="1"/>
      <c r="B15" s="1"/>
      <c r="C15" s="6" t="s">
        <v>95</v>
      </c>
      <c r="D15" s="81" t="s">
        <v>98</v>
      </c>
      <c r="E15" s="82"/>
      <c r="F15" s="82"/>
      <c r="G15" s="83"/>
      <c r="H15" s="1"/>
      <c r="I15" s="1"/>
    </row>
    <row r="16" spans="1:9" x14ac:dyDescent="0.25">
      <c r="A16" s="1"/>
      <c r="B16" s="1"/>
      <c r="C16" s="6" t="s">
        <v>96</v>
      </c>
      <c r="D16" s="81" t="s">
        <v>133</v>
      </c>
      <c r="E16" s="82"/>
      <c r="F16" s="82"/>
      <c r="G16" s="83"/>
      <c r="H16" s="1"/>
      <c r="I16" s="1"/>
    </row>
    <row r="17" spans="1:9" x14ac:dyDescent="0.25">
      <c r="A17" s="1"/>
      <c r="B17" s="1"/>
      <c r="C17" s="6" t="s">
        <v>7</v>
      </c>
      <c r="D17" s="75" t="s">
        <v>99</v>
      </c>
      <c r="E17" s="76"/>
      <c r="F17" s="76"/>
      <c r="G17" s="77"/>
      <c r="H17" s="1"/>
      <c r="I17" s="1"/>
    </row>
    <row r="18" spans="1:9" x14ac:dyDescent="0.25">
      <c r="A18" s="1"/>
      <c r="B18" s="1"/>
      <c r="C18" s="6" t="s">
        <v>8</v>
      </c>
      <c r="D18" s="75" t="s">
        <v>101</v>
      </c>
      <c r="E18" s="76"/>
      <c r="F18" s="76"/>
      <c r="G18" s="77"/>
      <c r="H18" s="1"/>
      <c r="I18" s="1"/>
    </row>
    <row r="19" spans="1:9" x14ac:dyDescent="0.25">
      <c r="A19" s="1"/>
      <c r="B19" s="1"/>
      <c r="C19" s="6" t="s">
        <v>9</v>
      </c>
      <c r="D19" s="75" t="s">
        <v>100</v>
      </c>
      <c r="E19" s="76"/>
      <c r="F19" s="76"/>
      <c r="G19" s="77"/>
      <c r="H19" s="1"/>
      <c r="I19" s="1"/>
    </row>
    <row r="20" spans="1:9" x14ac:dyDescent="0.25">
      <c r="A20" s="1"/>
      <c r="B20" s="1"/>
      <c r="C20" s="6" t="s">
        <v>10</v>
      </c>
      <c r="D20" s="78" t="s">
        <v>130</v>
      </c>
      <c r="E20" s="79"/>
      <c r="F20" s="79"/>
      <c r="G20" s="80"/>
      <c r="H20" s="1"/>
      <c r="I20" s="1"/>
    </row>
    <row r="21" spans="1:9" x14ac:dyDescent="0.25">
      <c r="A21" s="1"/>
      <c r="B21" s="1"/>
      <c r="C21" s="6" t="s">
        <v>11</v>
      </c>
      <c r="D21" s="70" t="s">
        <v>102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12</v>
      </c>
      <c r="D22" s="70" t="s">
        <v>131</v>
      </c>
      <c r="E22" s="71"/>
      <c r="F22" s="71"/>
      <c r="G22" s="72"/>
      <c r="H22" s="1"/>
      <c r="I22" s="1"/>
    </row>
    <row r="23" spans="1:9" x14ac:dyDescent="0.25">
      <c r="A23" s="1"/>
      <c r="B23" s="1"/>
      <c r="C23" s="6" t="s">
        <v>13</v>
      </c>
      <c r="D23" s="70" t="s">
        <v>105</v>
      </c>
      <c r="E23" s="71"/>
      <c r="F23" s="71"/>
      <c r="G23" s="72"/>
      <c r="H23" s="1"/>
      <c r="I23" s="1"/>
    </row>
    <row r="24" spans="1:9" x14ac:dyDescent="0.25">
      <c r="A24" s="1"/>
      <c r="B24" s="1"/>
      <c r="C24" s="6" t="s">
        <v>25</v>
      </c>
      <c r="D24" s="87" t="s">
        <v>28</v>
      </c>
      <c r="E24" s="88"/>
      <c r="F24" s="88"/>
      <c r="G24" s="89"/>
      <c r="H24" s="1"/>
      <c r="I24" s="1"/>
    </row>
    <row r="25" spans="1:9" x14ac:dyDescent="0.25">
      <c r="A25" s="1"/>
      <c r="B25" s="1"/>
      <c r="C25" s="6" t="s">
        <v>29</v>
      </c>
      <c r="D25" s="84" t="s">
        <v>103</v>
      </c>
      <c r="E25" s="85"/>
      <c r="F25" s="85"/>
      <c r="G25" s="86"/>
      <c r="H25" s="1"/>
      <c r="I25" s="1"/>
    </row>
    <row r="26" spans="1:9" x14ac:dyDescent="0.25">
      <c r="A26" s="1"/>
      <c r="B26" s="1"/>
      <c r="C26" s="6" t="s">
        <v>30</v>
      </c>
      <c r="D26" s="84" t="s">
        <v>66</v>
      </c>
      <c r="E26" s="85"/>
      <c r="F26" s="85"/>
      <c r="G26" s="86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135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22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17</v>
      </c>
      <c r="C9" s="50"/>
      <c r="D9" s="50"/>
      <c r="E9" s="50"/>
      <c r="F9" s="51"/>
      <c r="G9" s="25">
        <v>241739</v>
      </c>
      <c r="H9" s="22" t="s">
        <v>3</v>
      </c>
      <c r="I9" s="1"/>
    </row>
    <row r="10" spans="1:9" x14ac:dyDescent="0.25">
      <c r="A10" s="1"/>
      <c r="B10" s="49" t="s">
        <v>56</v>
      </c>
      <c r="C10" s="50"/>
      <c r="D10" s="50"/>
      <c r="E10" s="50"/>
      <c r="F10" s="51"/>
      <c r="G10" s="25">
        <v>241739</v>
      </c>
      <c r="H10" s="22" t="s">
        <v>3</v>
      </c>
      <c r="I10" s="1"/>
    </row>
    <row r="11" spans="1:9" x14ac:dyDescent="0.25">
      <c r="A11" s="1"/>
      <c r="B11" s="58" t="s">
        <v>19</v>
      </c>
      <c r="C11" s="59"/>
      <c r="D11" s="59"/>
      <c r="E11" s="59"/>
      <c r="F11" s="60"/>
      <c r="G11" s="35">
        <f>G9-G10</f>
        <v>0</v>
      </c>
      <c r="H11" s="29" t="s">
        <v>3</v>
      </c>
      <c r="I11" s="1"/>
    </row>
    <row r="12" spans="1:9" x14ac:dyDescent="0.25">
      <c r="A12" s="1"/>
      <c r="B12" s="49" t="s">
        <v>18</v>
      </c>
      <c r="C12" s="50"/>
      <c r="D12" s="50"/>
      <c r="E12" s="50"/>
      <c r="F12" s="51"/>
      <c r="G12" s="25">
        <v>0</v>
      </c>
      <c r="H12" s="22" t="s">
        <v>43</v>
      </c>
      <c r="I12" s="1"/>
    </row>
    <row r="13" spans="1:9" x14ac:dyDescent="0.25">
      <c r="A13" s="1"/>
      <c r="B13" s="42" t="s">
        <v>16</v>
      </c>
      <c r="C13" s="43"/>
      <c r="D13" s="43"/>
      <c r="E13" s="43"/>
      <c r="F13" s="44"/>
      <c r="G13" s="20">
        <f>IF(G12 = 0,0,G11/G12)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136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113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99" t="s">
        <v>106</v>
      </c>
      <c r="C9" s="100"/>
      <c r="D9" s="101"/>
      <c r="E9" s="25">
        <v>5575307.2489999998</v>
      </c>
      <c r="F9" s="22" t="s">
        <v>3</v>
      </c>
      <c r="G9" s="19"/>
      <c r="H9" s="30"/>
      <c r="I9" s="1"/>
    </row>
    <row r="10" spans="1:9" x14ac:dyDescent="0.25">
      <c r="A10" s="1"/>
      <c r="B10" s="99" t="s">
        <v>107</v>
      </c>
      <c r="C10" s="100"/>
      <c r="D10" s="101"/>
      <c r="E10" s="25">
        <v>3371643</v>
      </c>
      <c r="F10" s="22" t="s">
        <v>3</v>
      </c>
      <c r="G10" s="14"/>
      <c r="H10" s="31"/>
      <c r="I10" s="1"/>
    </row>
    <row r="11" spans="1:9" x14ac:dyDescent="0.25">
      <c r="A11" s="1"/>
      <c r="B11" s="99" t="s">
        <v>114</v>
      </c>
      <c r="C11" s="100"/>
      <c r="D11" s="101"/>
      <c r="E11" s="25">
        <v>0</v>
      </c>
      <c r="F11" s="22" t="s">
        <v>3</v>
      </c>
      <c r="G11" s="14"/>
      <c r="H11" s="31"/>
      <c r="I11" s="1"/>
    </row>
    <row r="12" spans="1:9" x14ac:dyDescent="0.25">
      <c r="A12" s="1"/>
      <c r="B12" s="102" t="s">
        <v>108</v>
      </c>
      <c r="C12" s="103"/>
      <c r="D12" s="104"/>
      <c r="E12" s="17">
        <f>E9-(E10-E11)</f>
        <v>2203664.2489999998</v>
      </c>
      <c r="F12" s="28" t="s">
        <v>3</v>
      </c>
      <c r="G12" s="17">
        <f>E12</f>
        <v>2203664.2489999998</v>
      </c>
      <c r="H12" s="28" t="s">
        <v>3</v>
      </c>
      <c r="I12" s="1"/>
    </row>
    <row r="13" spans="1:9" x14ac:dyDescent="0.25">
      <c r="A13" s="1"/>
      <c r="B13" s="42"/>
      <c r="C13" s="43"/>
      <c r="D13" s="43"/>
      <c r="E13" s="43"/>
      <c r="F13" s="43"/>
      <c r="G13" s="43"/>
      <c r="H13" s="44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6" t="s">
        <v>118</v>
      </c>
      <c r="C17" s="97"/>
      <c r="D17" s="97"/>
      <c r="E17" s="97"/>
      <c r="F17" s="97"/>
      <c r="G17" s="97"/>
      <c r="H17" s="98"/>
      <c r="I17" s="1"/>
    </row>
    <row r="18" spans="1:9" x14ac:dyDescent="0.25">
      <c r="A18" s="1"/>
      <c r="B18" s="93" t="s">
        <v>115</v>
      </c>
      <c r="C18" s="94"/>
      <c r="D18" s="95"/>
      <c r="E18" s="11">
        <f>IF(E12&lt;0,E12,0)</f>
        <v>0</v>
      </c>
      <c r="F18" s="22" t="s">
        <v>3</v>
      </c>
      <c r="G18" s="14"/>
      <c r="H18" s="31"/>
      <c r="I18" s="1"/>
    </row>
    <row r="19" spans="1:9" x14ac:dyDescent="0.25">
      <c r="A19" s="1"/>
      <c r="B19" s="93" t="s">
        <v>116</v>
      </c>
      <c r="C19" s="94"/>
      <c r="D19" s="95"/>
      <c r="E19" s="11">
        <v>4</v>
      </c>
      <c r="F19" s="22" t="s">
        <v>43</v>
      </c>
      <c r="G19" s="14"/>
      <c r="H19" s="31"/>
      <c r="I19" s="1"/>
    </row>
    <row r="20" spans="1:9" x14ac:dyDescent="0.25">
      <c r="A20" s="1"/>
      <c r="B20" s="93" t="s">
        <v>117</v>
      </c>
      <c r="C20" s="94"/>
      <c r="D20" s="95"/>
      <c r="E20" s="11">
        <f>E18/E19</f>
        <v>0</v>
      </c>
      <c r="F20" s="22" t="s">
        <v>3</v>
      </c>
      <c r="G20" s="14"/>
      <c r="H20" s="31"/>
      <c r="I20" s="1"/>
    </row>
    <row r="21" spans="1:9" x14ac:dyDescent="0.25">
      <c r="A21" s="1"/>
      <c r="B21" s="96" t="s">
        <v>119</v>
      </c>
      <c r="C21" s="97"/>
      <c r="D21" s="97"/>
      <c r="E21" s="97"/>
      <c r="F21" s="98"/>
      <c r="G21" s="20">
        <f>E20</f>
        <v>0</v>
      </c>
      <c r="H21" s="21" t="s">
        <v>3</v>
      </c>
      <c r="I21" s="1"/>
    </row>
    <row r="22" spans="1:9" x14ac:dyDescent="0.25">
      <c r="A22" s="1"/>
      <c r="B22" s="96" t="s">
        <v>120</v>
      </c>
      <c r="C22" s="97"/>
      <c r="D22" s="97"/>
      <c r="E22" s="97"/>
      <c r="F22" s="98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22:F22"/>
    <mergeCell ref="B17:H17"/>
    <mergeCell ref="B18:D18"/>
    <mergeCell ref="B19:D19"/>
    <mergeCell ref="B20:D20"/>
    <mergeCell ref="B21:F21"/>
    <mergeCell ref="B12:D12"/>
    <mergeCell ref="B3:H4"/>
    <mergeCell ref="B8:H8"/>
    <mergeCell ref="B9:D9"/>
    <mergeCell ref="B10:D10"/>
    <mergeCell ref="B11:D1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20" style="2" customWidth="1"/>
    <col min="3" max="3" width="10" style="2" customWidth="1"/>
    <col min="4" max="4" width="13.14062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142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143</v>
      </c>
      <c r="C8" s="97"/>
      <c r="D8" s="97"/>
      <c r="E8" s="97"/>
      <c r="F8" s="97"/>
      <c r="G8" s="97"/>
      <c r="H8" s="98"/>
      <c r="I8" s="1"/>
    </row>
    <row r="9" spans="1:9" ht="39" customHeight="1" x14ac:dyDescent="0.25">
      <c r="A9" s="1"/>
      <c r="B9" s="41" t="s">
        <v>0</v>
      </c>
      <c r="C9" s="41" t="s">
        <v>1</v>
      </c>
      <c r="D9" s="41" t="s">
        <v>110</v>
      </c>
      <c r="E9" s="18" t="s">
        <v>2</v>
      </c>
      <c r="F9" s="18" t="s">
        <v>89</v>
      </c>
      <c r="G9" s="18" t="s">
        <v>90</v>
      </c>
      <c r="H9" s="40"/>
      <c r="I9" s="1"/>
    </row>
    <row r="10" spans="1:9" ht="15" customHeight="1" x14ac:dyDescent="0.25">
      <c r="A10" s="1"/>
      <c r="B10" s="34" t="s">
        <v>150</v>
      </c>
      <c r="C10" s="26"/>
      <c r="D10" s="25"/>
      <c r="E10" s="11"/>
      <c r="F10" s="25"/>
      <c r="G10" s="25"/>
      <c r="H10" s="22" t="s">
        <v>3</v>
      </c>
      <c r="I10" s="1"/>
    </row>
    <row r="11" spans="1:9" x14ac:dyDescent="0.25">
      <c r="A11" s="1"/>
      <c r="B11" s="96" t="s">
        <v>144</v>
      </c>
      <c r="C11" s="97"/>
      <c r="D11" s="98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94</v>
      </c>
      <c r="C3" s="90"/>
      <c r="D3" s="90"/>
      <c r="E3" s="90"/>
      <c r="F3" s="90"/>
      <c r="G3" s="90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45</v>
      </c>
      <c r="C8" s="43"/>
      <c r="D8" s="43"/>
      <c r="E8" s="43"/>
      <c r="F8" s="43"/>
      <c r="G8" s="44"/>
      <c r="H8" s="1"/>
    </row>
    <row r="9" spans="1:8" ht="15" customHeight="1" x14ac:dyDescent="0.25">
      <c r="A9" s="1"/>
      <c r="B9" s="32" t="s">
        <v>38</v>
      </c>
      <c r="C9" s="40"/>
      <c r="D9" s="32" t="s">
        <v>20</v>
      </c>
      <c r="E9" s="40"/>
      <c r="F9" s="32" t="s">
        <v>111</v>
      </c>
      <c r="G9" s="40"/>
      <c r="H9" s="1"/>
    </row>
    <row r="10" spans="1:8" x14ac:dyDescent="0.25">
      <c r="A10" s="1"/>
      <c r="B10" s="63" t="s">
        <v>143</v>
      </c>
      <c r="C10" s="64"/>
      <c r="D10" s="65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42" t="s">
        <v>147</v>
      </c>
      <c r="C11" s="44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2" t="s">
        <v>148</v>
      </c>
      <c r="C12" s="44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40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39</v>
      </c>
      <c r="C8" s="43"/>
      <c r="D8" s="43"/>
      <c r="E8" s="43"/>
      <c r="F8" s="44"/>
      <c r="G8" s="1"/>
    </row>
    <row r="9" spans="1:7" ht="15" customHeight="1" x14ac:dyDescent="0.25">
      <c r="A9" s="1"/>
      <c r="B9" s="32" t="s">
        <v>41</v>
      </c>
      <c r="C9" s="32" t="s">
        <v>20</v>
      </c>
      <c r="D9" s="40"/>
      <c r="E9" s="32" t="s">
        <v>111</v>
      </c>
      <c r="F9" s="40"/>
      <c r="G9" s="1"/>
    </row>
    <row r="10" spans="1:7" x14ac:dyDescent="0.25">
      <c r="A10" s="1"/>
      <c r="B10" s="27" t="s">
        <v>156</v>
      </c>
      <c r="C10" s="25">
        <v>0</v>
      </c>
      <c r="D10" s="22" t="s">
        <v>3</v>
      </c>
      <c r="E10" s="25">
        <v>0</v>
      </c>
      <c r="F10" s="22" t="s">
        <v>3</v>
      </c>
      <c r="G10" s="1"/>
    </row>
    <row r="11" spans="1:7" x14ac:dyDescent="0.25">
      <c r="A11" s="1"/>
      <c r="B11" s="42" t="s">
        <v>145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42" t="s">
        <v>146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149</v>
      </c>
      <c r="C3" s="92"/>
      <c r="D3" s="92"/>
      <c r="E3" s="92"/>
      <c r="F3" s="92"/>
      <c r="G3" s="1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26</v>
      </c>
      <c r="C8" s="43"/>
      <c r="D8" s="43"/>
      <c r="E8" s="43"/>
      <c r="F8" s="44"/>
      <c r="G8" s="44"/>
      <c r="H8" s="1"/>
    </row>
    <row r="9" spans="1:8" x14ac:dyDescent="0.25">
      <c r="A9" s="1"/>
      <c r="B9" s="49" t="s">
        <v>53</v>
      </c>
      <c r="C9" s="50"/>
      <c r="D9" s="50"/>
      <c r="E9" s="51"/>
      <c r="F9" s="66">
        <v>1.2699999999999999E-2</v>
      </c>
      <c r="G9" s="67"/>
      <c r="H9" s="1"/>
    </row>
    <row r="10" spans="1:8" x14ac:dyDescent="0.25">
      <c r="A10" s="1"/>
      <c r="B10" s="49" t="s">
        <v>54</v>
      </c>
      <c r="C10" s="50"/>
      <c r="D10" s="50"/>
      <c r="E10" s="51"/>
      <c r="F10" s="66">
        <v>1.7500000000000002E-2</v>
      </c>
      <c r="G10" s="67"/>
      <c r="H10" s="1"/>
    </row>
    <row r="11" spans="1:8" x14ac:dyDescent="0.25">
      <c r="A11" s="1"/>
      <c r="B11" s="49" t="s">
        <v>55</v>
      </c>
      <c r="C11" s="50"/>
      <c r="D11" s="50"/>
      <c r="E11" s="51"/>
      <c r="F11" s="66">
        <v>1.6899999999999998E-2</v>
      </c>
      <c r="G11" s="67"/>
      <c r="H11" s="1"/>
    </row>
    <row r="12" spans="1:8" x14ac:dyDescent="0.25">
      <c r="A12" s="1"/>
      <c r="B12" s="42"/>
      <c r="C12" s="43"/>
      <c r="D12" s="43"/>
      <c r="E12" s="43"/>
      <c r="F12" s="44"/>
      <c r="G12" s="44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42" t="s">
        <v>14</v>
      </c>
      <c r="C15" s="43"/>
      <c r="D15" s="43"/>
      <c r="E15" s="43"/>
      <c r="F15" s="44"/>
      <c r="G15" s="44"/>
      <c r="H15" s="1"/>
    </row>
    <row r="16" spans="1:8" x14ac:dyDescent="0.25">
      <c r="A16" s="1"/>
      <c r="B16" s="49" t="s">
        <v>14</v>
      </c>
      <c r="C16" s="50"/>
      <c r="D16" s="50"/>
      <c r="E16" s="51"/>
      <c r="F16" s="66">
        <v>1.7000000000000001E-2</v>
      </c>
      <c r="G16" s="67"/>
      <c r="H16" s="1"/>
    </row>
    <row r="17" spans="1:8" x14ac:dyDescent="0.25">
      <c r="A17" s="1"/>
      <c r="B17" s="42"/>
      <c r="C17" s="43"/>
      <c r="D17" s="43"/>
      <c r="E17" s="43"/>
      <c r="F17" s="44"/>
      <c r="G17" s="44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47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29.25" customHeight="1" x14ac:dyDescent="0.25">
      <c r="A9" s="1"/>
      <c r="B9" s="45" t="s">
        <v>60</v>
      </c>
      <c r="C9" s="7">
        <f>'Fane 3. Omkostninger i ØR2018'!G13</f>
        <v>4640419.3745404286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8" t="s">
        <v>50</v>
      </c>
      <c r="C10" s="7">
        <f>'Fane 3. Omkostninger i ØR2018'!G10</f>
        <v>0</v>
      </c>
      <c r="D10" s="8"/>
      <c r="E10" s="36"/>
      <c r="F10" s="13"/>
      <c r="G10" s="1"/>
    </row>
    <row r="11" spans="1:7" x14ac:dyDescent="0.25">
      <c r="A11" s="1"/>
      <c r="B11" s="46" t="s">
        <v>51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6" t="s">
        <v>52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6" t="s">
        <v>42</v>
      </c>
      <c r="C13" s="11">
        <f>(C9-C10)*Prisudvikling2017+C10*Prisudvikling2018+SUM(C11:C12)*Prisudvikling2019</f>
        <v>58933.326056663442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6" t="s">
        <v>14</v>
      </c>
      <c r="C14" s="11">
        <f>-SUM(C9,C11:C13)*GenereltKrav</f>
        <v>-79888.995910150581</v>
      </c>
      <c r="D14" s="8" t="s">
        <v>3</v>
      </c>
      <c r="E14" s="15"/>
      <c r="F14" s="16"/>
      <c r="G14" s="1"/>
    </row>
    <row r="15" spans="1:7" x14ac:dyDescent="0.25">
      <c r="A15" s="1"/>
      <c r="B15" s="47" t="s">
        <v>46</v>
      </c>
      <c r="C15" s="17">
        <f>SUM(C9,C11:C14)</f>
        <v>4619463.7046869416</v>
      </c>
      <c r="D15" s="18" t="s">
        <v>3</v>
      </c>
      <c r="E15" s="17">
        <f>C15</f>
        <v>4619463.7046869416</v>
      </c>
      <c r="F15" s="18" t="s">
        <v>3</v>
      </c>
      <c r="G15" s="1"/>
    </row>
    <row r="16" spans="1:7" x14ac:dyDescent="0.25">
      <c r="A16" s="1"/>
      <c r="B16" s="42" t="s">
        <v>44</v>
      </c>
      <c r="C16" s="43"/>
      <c r="D16" s="43"/>
      <c r="E16" s="43"/>
      <c r="F16" s="44"/>
      <c r="G16" s="1"/>
    </row>
    <row r="17" spans="1:7" ht="15" customHeight="1" x14ac:dyDescent="0.25">
      <c r="A17" s="1"/>
      <c r="B17" s="46" t="s">
        <v>154</v>
      </c>
      <c r="C17" s="25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6" t="s">
        <v>83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32" t="s">
        <v>84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42" t="s">
        <v>21</v>
      </c>
      <c r="C20" s="43"/>
      <c r="D20" s="43"/>
      <c r="E20" s="43"/>
      <c r="F20" s="44"/>
      <c r="G20" s="1"/>
    </row>
    <row r="21" spans="1:7" ht="15" customHeight="1" x14ac:dyDescent="0.25">
      <c r="A21" s="1"/>
      <c r="B21" s="46" t="s">
        <v>21</v>
      </c>
      <c r="C21" s="11">
        <f>'Fane 5. Ikke-påvirkelige omk.'!E14</f>
        <v>612084.57932948985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6" t="s">
        <v>86</v>
      </c>
      <c r="C22" s="25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32" t="s">
        <v>87</v>
      </c>
      <c r="C23" s="17">
        <f>SUM(C21:C22)</f>
        <v>612084.57932948985</v>
      </c>
      <c r="D23" s="18" t="s">
        <v>3</v>
      </c>
      <c r="E23" s="17">
        <f>C23</f>
        <v>612084.57932948985</v>
      </c>
      <c r="F23" s="18" t="s">
        <v>3</v>
      </c>
      <c r="G23" s="1"/>
    </row>
    <row r="24" spans="1:7" ht="15" customHeight="1" x14ac:dyDescent="0.25">
      <c r="A24" s="1"/>
      <c r="B24" s="42" t="s">
        <v>88</v>
      </c>
      <c r="C24" s="43"/>
      <c r="D24" s="43"/>
      <c r="E24" s="43"/>
      <c r="F24" s="44"/>
      <c r="G24" s="1"/>
    </row>
    <row r="25" spans="1:7" ht="15" customHeight="1" x14ac:dyDescent="0.25">
      <c r="A25" s="1"/>
      <c r="B25" s="45" t="s">
        <v>62</v>
      </c>
      <c r="C25" s="68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5" t="s">
        <v>63</v>
      </c>
      <c r="C26" s="68">
        <v>0</v>
      </c>
      <c r="D26" s="8" t="s">
        <v>3</v>
      </c>
      <c r="E26" s="37"/>
      <c r="F26" s="13"/>
      <c r="G26" s="1"/>
    </row>
    <row r="27" spans="1:7" ht="28.5" customHeight="1" x14ac:dyDescent="0.25">
      <c r="A27" s="1"/>
      <c r="B27" s="46" t="s">
        <v>64</v>
      </c>
      <c r="C27" s="68">
        <v>2424.4693124884848</v>
      </c>
      <c r="D27" s="8" t="s">
        <v>3</v>
      </c>
      <c r="E27" s="36"/>
      <c r="F27" s="13"/>
      <c r="G27" s="1"/>
    </row>
    <row r="28" spans="1:7" ht="15" customHeight="1" x14ac:dyDescent="0.25">
      <c r="A28" s="1"/>
      <c r="B28" s="32" t="s">
        <v>65</v>
      </c>
      <c r="C28" s="17">
        <f>SUM(C25:C27)</f>
        <v>2424.4693124884848</v>
      </c>
      <c r="D28" s="18" t="s">
        <v>3</v>
      </c>
      <c r="E28" s="17">
        <f>C28</f>
        <v>2424.4693124884848</v>
      </c>
      <c r="F28" s="18" t="s">
        <v>3</v>
      </c>
      <c r="G28" s="1"/>
    </row>
    <row r="29" spans="1:7" x14ac:dyDescent="0.25">
      <c r="A29" s="1"/>
      <c r="B29" s="42" t="s">
        <v>15</v>
      </c>
      <c r="C29" s="43"/>
      <c r="D29" s="43"/>
      <c r="E29" s="43"/>
      <c r="F29" s="44"/>
      <c r="G29" s="1"/>
    </row>
    <row r="30" spans="1:7" ht="15" customHeight="1" x14ac:dyDescent="0.25">
      <c r="A30" s="1"/>
      <c r="B30" s="32" t="s">
        <v>23</v>
      </c>
      <c r="C30" s="17">
        <f>'Fane 7. Hist. over el. underdæk'!G13</f>
        <v>0</v>
      </c>
      <c r="D30" s="18" t="s">
        <v>3</v>
      </c>
      <c r="E30" s="17">
        <f>C30</f>
        <v>0</v>
      </c>
      <c r="F30" s="18" t="s">
        <v>3</v>
      </c>
      <c r="G30" s="1"/>
    </row>
    <row r="31" spans="1:7" x14ac:dyDescent="0.25">
      <c r="A31" s="1"/>
      <c r="B31" s="42" t="s">
        <v>35</v>
      </c>
      <c r="C31" s="43"/>
      <c r="D31" s="44"/>
      <c r="E31" s="20">
        <f>SUM(E15,E19,E23,E28,E30)</f>
        <v>5233972.7533289194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48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5" t="s">
        <v>67</v>
      </c>
      <c r="C9" s="7">
        <f>'Fane 2.1. Økonomisk ramme 2019'!E15</f>
        <v>4619463.7046869416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6" t="s">
        <v>50</v>
      </c>
      <c r="C10" s="7">
        <f>'Fane 2.1. Økonomisk ramme 2019'!C10*(1+Prisudvikling2018)*(1-GenereltKrav)</f>
        <v>0</v>
      </c>
      <c r="D10" s="8" t="s">
        <v>3</v>
      </c>
      <c r="E10" s="36"/>
      <c r="F10" s="13"/>
      <c r="G10" s="1"/>
    </row>
    <row r="11" spans="1:7" ht="15" customHeight="1" x14ac:dyDescent="0.25">
      <c r="A11" s="1"/>
      <c r="B11" s="46" t="s">
        <v>68</v>
      </c>
      <c r="C11" s="7">
        <f>SUM('Fane 2.1. Økonomisk ramme 2019'!C11:C12)*(1+Prisudvikling2019)*(1-GenereltKrav)</f>
        <v>0</v>
      </c>
      <c r="D11" s="8" t="s">
        <v>3</v>
      </c>
      <c r="E11" s="36"/>
      <c r="F11" s="13"/>
      <c r="G11" s="1"/>
    </row>
    <row r="12" spans="1:7" ht="15" customHeight="1" x14ac:dyDescent="0.25">
      <c r="A12" s="1"/>
      <c r="B12" s="46" t="s">
        <v>42</v>
      </c>
      <c r="C12" s="11">
        <f>(C9-C10-C11)*Prisudvikling2017+C10*Prisudvikling2018+C11*Prisudvikling2019</f>
        <v>58667.189049524153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6" t="s">
        <v>14</v>
      </c>
      <c r="C13" s="11">
        <f>-SUM(C9,C12)*GenereltKrav</f>
        <v>-79528.225193519931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7" t="s">
        <v>46</v>
      </c>
      <c r="C14" s="17">
        <f>SUM(C9,C12:C13)</f>
        <v>4598602.6685429458</v>
      </c>
      <c r="D14" s="18" t="s">
        <v>3</v>
      </c>
      <c r="E14" s="17">
        <f>C14</f>
        <v>4598602.6685429458</v>
      </c>
      <c r="F14" s="18" t="s">
        <v>3</v>
      </c>
      <c r="G14" s="1"/>
    </row>
    <row r="15" spans="1:7" ht="15" customHeight="1" x14ac:dyDescent="0.25">
      <c r="A15" s="1"/>
      <c r="B15" s="42" t="s">
        <v>44</v>
      </c>
      <c r="C15" s="43"/>
      <c r="D15" s="43"/>
      <c r="E15" s="43"/>
      <c r="F15" s="44"/>
      <c r="G15" s="1"/>
    </row>
    <row r="16" spans="1:7" ht="15" customHeight="1" x14ac:dyDescent="0.25">
      <c r="A16" s="1"/>
      <c r="B16" s="46" t="s">
        <v>154</v>
      </c>
      <c r="C16" s="25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6" t="s">
        <v>83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32" t="s">
        <v>84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42" t="s">
        <v>21</v>
      </c>
      <c r="C19" s="43"/>
      <c r="D19" s="43"/>
      <c r="E19" s="43"/>
      <c r="F19" s="44"/>
      <c r="G19" s="1"/>
    </row>
    <row r="20" spans="1:7" ht="14.25" customHeight="1" x14ac:dyDescent="0.25">
      <c r="A20" s="1"/>
      <c r="B20" s="46" t="s">
        <v>21</v>
      </c>
      <c r="C20" s="11">
        <f>'Fane 5. Ikke-påvirkelige omk.'!E14*(1+Prisudvikling2019)</f>
        <v>622428.80872015818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6" t="s">
        <v>86</v>
      </c>
      <c r="C21" s="25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32" t="s">
        <v>87</v>
      </c>
      <c r="C22" s="17">
        <f>SUM(C20:C21)</f>
        <v>622428.80872015818</v>
      </c>
      <c r="D22" s="18" t="s">
        <v>3</v>
      </c>
      <c r="E22" s="17">
        <f>C22</f>
        <v>622428.80872015818</v>
      </c>
      <c r="F22" s="18" t="s">
        <v>3</v>
      </c>
      <c r="G22" s="1"/>
    </row>
    <row r="23" spans="1:7" x14ac:dyDescent="0.25">
      <c r="A23" s="1"/>
      <c r="B23" s="42" t="s">
        <v>15</v>
      </c>
      <c r="C23" s="43"/>
      <c r="D23" s="43"/>
      <c r="E23" s="43"/>
      <c r="F23" s="44"/>
      <c r="G23" s="1"/>
    </row>
    <row r="24" spans="1:7" ht="15" customHeight="1" x14ac:dyDescent="0.25">
      <c r="A24" s="1"/>
      <c r="B24" s="32" t="s">
        <v>23</v>
      </c>
      <c r="C24" s="17">
        <f>IF('Fane 7. Hist. over el. underdæk'!G12&gt;1,'Fane 7. Hist. over el. underdæk'!G13,0)</f>
        <v>0</v>
      </c>
      <c r="D24" s="18" t="s">
        <v>3</v>
      </c>
      <c r="E24" s="17">
        <f>C24</f>
        <v>0</v>
      </c>
      <c r="F24" s="18" t="s">
        <v>3</v>
      </c>
      <c r="G24" s="1"/>
    </row>
    <row r="25" spans="1:7" x14ac:dyDescent="0.25">
      <c r="A25" s="1"/>
      <c r="B25" s="42" t="s">
        <v>69</v>
      </c>
      <c r="C25" s="43"/>
      <c r="D25" s="44"/>
      <c r="E25" s="20">
        <f>SUM(E14,E18,E22,E24)</f>
        <v>5221031.4772631042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91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49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9" t="s">
        <v>70</v>
      </c>
      <c r="C9" s="7">
        <f>'Fane 2.2. Økonomisk ramme 2020'!E14</f>
        <v>4598602.6685429458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27</v>
      </c>
      <c r="C10" s="7">
        <f>'Fane 4. Korrigeret grundlag'!G24</f>
        <v>-181338.8785075921</v>
      </c>
      <c r="D10" s="8" t="s">
        <v>3</v>
      </c>
      <c r="E10" s="36"/>
      <c r="F10" s="13"/>
      <c r="G10" s="1"/>
    </row>
    <row r="11" spans="1:7" ht="15" customHeight="1" x14ac:dyDescent="0.25">
      <c r="A11" s="1"/>
      <c r="B11" s="46" t="s">
        <v>42</v>
      </c>
      <c r="C11" s="11">
        <f>SUM(C9:C10)*Prisudvikling2019</f>
        <v>74651.75805159747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6" t="s">
        <v>14</v>
      </c>
      <c r="C12" s="11">
        <f>-SUM(C9:C11)*GenereltKrav</f>
        <v>-76362.564317478187</v>
      </c>
      <c r="D12" s="8" t="s">
        <v>3</v>
      </c>
      <c r="E12" s="15"/>
      <c r="F12" s="16"/>
      <c r="G12" s="1"/>
    </row>
    <row r="13" spans="1:7" x14ac:dyDescent="0.25">
      <c r="A13" s="1"/>
      <c r="B13" s="47" t="s">
        <v>46</v>
      </c>
      <c r="C13" s="17">
        <f>SUM(C9:C12)</f>
        <v>4415552.9837694736</v>
      </c>
      <c r="D13" s="18" t="s">
        <v>3</v>
      </c>
      <c r="E13" s="17">
        <f>C13</f>
        <v>4415552.9837694736</v>
      </c>
      <c r="F13" s="18" t="s">
        <v>3</v>
      </c>
      <c r="G13" s="1"/>
    </row>
    <row r="14" spans="1:7" x14ac:dyDescent="0.25">
      <c r="A14" s="1"/>
      <c r="B14" s="42" t="s">
        <v>44</v>
      </c>
      <c r="C14" s="43"/>
      <c r="D14" s="43"/>
      <c r="E14" s="43"/>
      <c r="F14" s="44"/>
      <c r="G14" s="1"/>
    </row>
    <row r="15" spans="1:7" ht="15" customHeight="1" x14ac:dyDescent="0.25">
      <c r="A15" s="1"/>
      <c r="B15" s="46" t="s">
        <v>154</v>
      </c>
      <c r="C15" s="25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6" t="s">
        <v>83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32" t="s">
        <v>84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42" t="s">
        <v>21</v>
      </c>
      <c r="C18" s="43"/>
      <c r="D18" s="43"/>
      <c r="E18" s="43"/>
      <c r="F18" s="44"/>
      <c r="G18" s="1"/>
    </row>
    <row r="19" spans="1:7" ht="15" customHeight="1" x14ac:dyDescent="0.25">
      <c r="A19" s="1"/>
      <c r="B19" s="46" t="s">
        <v>21</v>
      </c>
      <c r="C19" s="11">
        <f>'Fane 5. Ikke-påvirkelige omk.'!E14*(1+Prisudvikling2019)^2</f>
        <v>632947.85558752879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6" t="s">
        <v>86</v>
      </c>
      <c r="C20" s="25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32" t="s">
        <v>87</v>
      </c>
      <c r="C21" s="17">
        <f>SUM(C19:C20)</f>
        <v>632947.85558752879</v>
      </c>
      <c r="D21" s="18" t="s">
        <v>3</v>
      </c>
      <c r="E21" s="17">
        <f>C21</f>
        <v>632947.85558752879</v>
      </c>
      <c r="F21" s="18" t="s">
        <v>3</v>
      </c>
      <c r="G21" s="1"/>
    </row>
    <row r="22" spans="1:7" x14ac:dyDescent="0.25">
      <c r="A22" s="1"/>
      <c r="B22" s="42" t="s">
        <v>125</v>
      </c>
      <c r="C22" s="43"/>
      <c r="D22" s="43"/>
      <c r="E22" s="43"/>
      <c r="F22" s="44"/>
      <c r="G22" s="1"/>
    </row>
    <row r="23" spans="1:7" ht="15" customHeight="1" x14ac:dyDescent="0.25">
      <c r="A23" s="1"/>
      <c r="B23" s="32" t="s">
        <v>33</v>
      </c>
      <c r="C23" s="17">
        <f>'Fane 6. Korrektion prisloft 16'!G13</f>
        <v>-41316.847499729643</v>
      </c>
      <c r="D23" s="18" t="s">
        <v>3</v>
      </c>
      <c r="E23" s="17">
        <f>C23</f>
        <v>-41316.847499729643</v>
      </c>
      <c r="F23" s="18" t="s">
        <v>3</v>
      </c>
      <c r="G23" s="1"/>
    </row>
    <row r="24" spans="1:7" x14ac:dyDescent="0.25">
      <c r="A24" s="1"/>
      <c r="B24" s="42" t="s">
        <v>122</v>
      </c>
      <c r="C24" s="43"/>
      <c r="D24" s="43"/>
      <c r="E24" s="43"/>
      <c r="F24" s="44"/>
      <c r="G24" s="1"/>
    </row>
    <row r="25" spans="1:7" ht="15" customHeight="1" x14ac:dyDescent="0.25">
      <c r="A25" s="1"/>
      <c r="B25" s="45" t="s">
        <v>123</v>
      </c>
      <c r="C25" s="11">
        <f>'Fane 6. Korrektion prisloft 16'!G22</f>
        <v>-185881.54847247354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5" t="s">
        <v>121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124</v>
      </c>
      <c r="C27" s="62">
        <f>SUM(C25:C26)</f>
        <v>-185881.54847247354</v>
      </c>
      <c r="D27" s="40" t="s">
        <v>3</v>
      </c>
      <c r="E27" s="17">
        <f>C27</f>
        <v>-185881.54847247354</v>
      </c>
      <c r="F27" s="18" t="s">
        <v>3</v>
      </c>
      <c r="G27" s="1"/>
    </row>
    <row r="28" spans="1:7" x14ac:dyDescent="0.25">
      <c r="A28" s="1"/>
      <c r="B28" s="42" t="s">
        <v>85</v>
      </c>
      <c r="C28" s="43"/>
      <c r="D28" s="44"/>
      <c r="E28" s="20">
        <f>SUM(E13,E17,E21,E23,E27)</f>
        <v>4821302.4433847992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49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5" t="s">
        <v>80</v>
      </c>
      <c r="C9" s="7">
        <f>'Fane 2.3. Økonomisk ramme 2021'!E13</f>
        <v>4415552.9837694736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6" t="s">
        <v>42</v>
      </c>
      <c r="C10" s="11">
        <f>C9*Prisudvikling2019</f>
        <v>74622.845425704101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6" t="s">
        <v>14</v>
      </c>
      <c r="C11" s="11">
        <f>-SUM(C9:C10)*GenereltKrav</f>
        <v>-76332.989096318037</v>
      </c>
      <c r="D11" s="8" t="s">
        <v>3</v>
      </c>
      <c r="E11" s="15"/>
      <c r="F11" s="16"/>
      <c r="G11" s="1"/>
    </row>
    <row r="12" spans="1:7" x14ac:dyDescent="0.25">
      <c r="A12" s="1"/>
      <c r="B12" s="47" t="s">
        <v>46</v>
      </c>
      <c r="C12" s="17">
        <f>SUM(C9:C11)</f>
        <v>4413842.8400988597</v>
      </c>
      <c r="D12" s="18" t="s">
        <v>3</v>
      </c>
      <c r="E12" s="17">
        <f>C12</f>
        <v>4413842.8400988597</v>
      </c>
      <c r="F12" s="18" t="s">
        <v>3</v>
      </c>
      <c r="G12" s="1"/>
    </row>
    <row r="13" spans="1:7" x14ac:dyDescent="0.25">
      <c r="A13" s="1"/>
      <c r="B13" s="42" t="s">
        <v>44</v>
      </c>
      <c r="C13" s="43"/>
      <c r="D13" s="43"/>
      <c r="E13" s="43"/>
      <c r="F13" s="44"/>
      <c r="G13" s="1"/>
    </row>
    <row r="14" spans="1:7" ht="15" customHeight="1" x14ac:dyDescent="0.25">
      <c r="A14" s="1"/>
      <c r="B14" s="46" t="s">
        <v>154</v>
      </c>
      <c r="C14" s="25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6" t="s">
        <v>83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32" t="s">
        <v>84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42" t="s">
        <v>21</v>
      </c>
      <c r="C17" s="43"/>
      <c r="D17" s="43"/>
      <c r="E17" s="43"/>
      <c r="F17" s="44"/>
      <c r="G17" s="1"/>
    </row>
    <row r="18" spans="1:7" ht="15" customHeight="1" x14ac:dyDescent="0.25">
      <c r="A18" s="1"/>
      <c r="B18" s="46" t="s">
        <v>21</v>
      </c>
      <c r="C18" s="11">
        <f>'Fane 5. Ikke-påvirkelige omk.'!E14*(1+Prisudvikling2019)^3</f>
        <v>643644.67434695794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6" t="s">
        <v>86</v>
      </c>
      <c r="C19" s="25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32" t="s">
        <v>87</v>
      </c>
      <c r="C20" s="17">
        <f>SUM(C18:C19)</f>
        <v>643644.67434695794</v>
      </c>
      <c r="D20" s="18" t="s">
        <v>3</v>
      </c>
      <c r="E20" s="17">
        <f>C20</f>
        <v>643644.67434695794</v>
      </c>
      <c r="F20" s="18" t="s">
        <v>3</v>
      </c>
      <c r="G20" s="1"/>
    </row>
    <row r="21" spans="1:7" x14ac:dyDescent="0.25">
      <c r="A21" s="1"/>
      <c r="B21" s="42" t="s">
        <v>125</v>
      </c>
      <c r="C21" s="43"/>
      <c r="D21" s="43"/>
      <c r="E21" s="43"/>
      <c r="F21" s="44"/>
      <c r="G21" s="1"/>
    </row>
    <row r="22" spans="1:7" ht="15" customHeight="1" x14ac:dyDescent="0.25">
      <c r="A22" s="1"/>
      <c r="B22" s="32" t="s">
        <v>33</v>
      </c>
      <c r="C22" s="17">
        <f>'Fane 2.3. Økonomisk ramme 2021'!C23*(1+Prisudvikling2019)</f>
        <v>-42015.10222247507</v>
      </c>
      <c r="D22" s="18" t="s">
        <v>3</v>
      </c>
      <c r="E22" s="17">
        <f>C22</f>
        <v>-42015.10222247507</v>
      </c>
      <c r="F22" s="18" t="s">
        <v>3</v>
      </c>
      <c r="G22" s="1"/>
    </row>
    <row r="23" spans="1:7" ht="15" customHeight="1" x14ac:dyDescent="0.25">
      <c r="A23" s="1"/>
      <c r="B23" s="42" t="s">
        <v>122</v>
      </c>
      <c r="C23" s="43"/>
      <c r="D23" s="43"/>
      <c r="E23" s="43"/>
      <c r="F23" s="44"/>
      <c r="G23" s="1"/>
    </row>
    <row r="24" spans="1:7" ht="15" customHeight="1" x14ac:dyDescent="0.25">
      <c r="A24" s="1"/>
      <c r="B24" s="45" t="s">
        <v>123</v>
      </c>
      <c r="C24" s="11">
        <f>'Fane 2.3. Økonomisk ramme 2021'!C25*(1+Prisudvikling2019)</f>
        <v>-189022.94664165832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5" t="s">
        <v>121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157</v>
      </c>
      <c r="C26" s="62">
        <f>SUM(C24:C25)</f>
        <v>-189022.94664165832</v>
      </c>
      <c r="D26" s="40" t="s">
        <v>3</v>
      </c>
      <c r="E26" s="17">
        <f>C26</f>
        <v>-189022.94664165832</v>
      </c>
      <c r="F26" s="18" t="s">
        <v>3</v>
      </c>
      <c r="G26" s="1"/>
    </row>
    <row r="27" spans="1:7" x14ac:dyDescent="0.25">
      <c r="A27" s="1"/>
      <c r="B27" s="42" t="s">
        <v>79</v>
      </c>
      <c r="C27" s="43"/>
      <c r="D27" s="44"/>
      <c r="E27" s="20">
        <f>SUM(E12,E16,E20,E22,E26)</f>
        <v>4826449.4655816844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93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60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34</v>
      </c>
      <c r="C9" s="50"/>
      <c r="D9" s="50"/>
      <c r="E9" s="50"/>
      <c r="F9" s="51"/>
      <c r="G9" s="25">
        <v>5083683.4515904291</v>
      </c>
      <c r="H9" s="22" t="s">
        <v>3</v>
      </c>
      <c r="I9" s="1"/>
    </row>
    <row r="10" spans="1:9" x14ac:dyDescent="0.25">
      <c r="A10" s="1"/>
      <c r="B10" s="48" t="s">
        <v>61</v>
      </c>
      <c r="C10" s="50"/>
      <c r="D10" s="50"/>
      <c r="E10" s="50"/>
      <c r="F10" s="51"/>
      <c r="G10" s="25">
        <v>0</v>
      </c>
      <c r="H10" s="22" t="s">
        <v>3</v>
      </c>
      <c r="I10" s="1"/>
    </row>
    <row r="11" spans="1:9" x14ac:dyDescent="0.25">
      <c r="A11" s="1"/>
      <c r="B11" s="48" t="s">
        <v>58</v>
      </c>
      <c r="C11" s="50"/>
      <c r="D11" s="50"/>
      <c r="E11" s="50"/>
      <c r="F11" s="51"/>
      <c r="G11" s="25">
        <v>443264.07705000002</v>
      </c>
      <c r="H11" s="22" t="s">
        <v>3</v>
      </c>
      <c r="I11" s="1"/>
    </row>
    <row r="12" spans="1:9" x14ac:dyDescent="0.25">
      <c r="A12" s="1"/>
      <c r="B12" s="48" t="s">
        <v>59</v>
      </c>
      <c r="C12" s="50"/>
      <c r="D12" s="50"/>
      <c r="E12" s="50"/>
      <c r="F12" s="51"/>
      <c r="G12" s="25">
        <v>0</v>
      </c>
      <c r="H12" s="22" t="s">
        <v>3</v>
      </c>
      <c r="I12" s="1"/>
    </row>
    <row r="13" spans="1:9" ht="26.25" customHeight="1" x14ac:dyDescent="0.25">
      <c r="A13" s="1"/>
      <c r="B13" s="52" t="s">
        <v>81</v>
      </c>
      <c r="C13" s="53"/>
      <c r="D13" s="53"/>
      <c r="E13" s="53"/>
      <c r="F13" s="54"/>
      <c r="G13" s="38">
        <f>G9-G11-G12</f>
        <v>4640419.3745404286</v>
      </c>
      <c r="H13" s="39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139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71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72</v>
      </c>
      <c r="C9" s="50"/>
      <c r="D9" s="50"/>
      <c r="E9" s="50"/>
      <c r="F9" s="51"/>
      <c r="G9" s="25">
        <v>1947303.8713032878</v>
      </c>
      <c r="H9" s="22" t="s">
        <v>3</v>
      </c>
      <c r="I9" s="1"/>
    </row>
    <row r="10" spans="1:9" x14ac:dyDescent="0.25">
      <c r="A10" s="1"/>
      <c r="B10" s="49" t="s">
        <v>73</v>
      </c>
      <c r="C10" s="50"/>
      <c r="D10" s="50"/>
      <c r="E10" s="50"/>
      <c r="F10" s="51"/>
      <c r="G10" s="25">
        <v>2794799.1799801723</v>
      </c>
      <c r="H10" s="22" t="s">
        <v>3</v>
      </c>
      <c r="I10" s="1"/>
    </row>
    <row r="11" spans="1:9" ht="26.25" customHeight="1" x14ac:dyDescent="0.25">
      <c r="A11" s="1"/>
      <c r="B11" s="52" t="s">
        <v>74</v>
      </c>
      <c r="C11" s="53"/>
      <c r="D11" s="53"/>
      <c r="E11" s="53"/>
      <c r="F11" s="54"/>
      <c r="G11" s="38">
        <f>SUM(G9:G10)</f>
        <v>4742103.0512834601</v>
      </c>
      <c r="H11" s="39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42" t="s">
        <v>75</v>
      </c>
      <c r="C14" s="43"/>
      <c r="D14" s="43"/>
      <c r="E14" s="43"/>
      <c r="F14" s="43"/>
      <c r="G14" s="43"/>
      <c r="H14" s="44"/>
      <c r="I14" s="1"/>
    </row>
    <row r="15" spans="1:9" x14ac:dyDescent="0.25">
      <c r="A15" s="1"/>
      <c r="B15" s="49" t="s">
        <v>36</v>
      </c>
      <c r="C15" s="50"/>
      <c r="D15" s="50"/>
      <c r="E15" s="50"/>
      <c r="F15" s="51"/>
      <c r="G15" s="25">
        <v>1947303.8713032878</v>
      </c>
      <c r="H15" s="22" t="s">
        <v>3</v>
      </c>
      <c r="I15" s="1"/>
    </row>
    <row r="16" spans="1:9" x14ac:dyDescent="0.25">
      <c r="A16" s="1"/>
      <c r="B16" s="49" t="s">
        <v>37</v>
      </c>
      <c r="C16" s="50"/>
      <c r="D16" s="50"/>
      <c r="E16" s="50"/>
      <c r="F16" s="51"/>
      <c r="G16" s="25">
        <v>2622351.9655601722</v>
      </c>
      <c r="H16" s="22" t="s">
        <v>3</v>
      </c>
      <c r="I16" s="1"/>
    </row>
    <row r="17" spans="1:9" ht="26.25" customHeight="1" x14ac:dyDescent="0.25">
      <c r="A17" s="1"/>
      <c r="B17" s="52" t="s">
        <v>76</v>
      </c>
      <c r="C17" s="53"/>
      <c r="D17" s="53"/>
      <c r="E17" s="53"/>
      <c r="F17" s="54"/>
      <c r="G17" s="38">
        <f>SUM(G15:G16)</f>
        <v>4569655.83686346</v>
      </c>
      <c r="H17" s="39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42" t="s">
        <v>27</v>
      </c>
      <c r="C20" s="43"/>
      <c r="D20" s="43"/>
      <c r="E20" s="43"/>
      <c r="F20" s="43"/>
      <c r="G20" s="43"/>
      <c r="H20" s="44"/>
      <c r="I20" s="1"/>
    </row>
    <row r="21" spans="1:9" x14ac:dyDescent="0.25">
      <c r="A21" s="1"/>
      <c r="B21" s="49" t="s">
        <v>77</v>
      </c>
      <c r="C21" s="50"/>
      <c r="D21" s="50"/>
      <c r="E21" s="50"/>
      <c r="F21" s="51"/>
      <c r="G21" s="11">
        <f>G15-G9</f>
        <v>0</v>
      </c>
      <c r="H21" s="22" t="s">
        <v>3</v>
      </c>
      <c r="I21" s="1"/>
    </row>
    <row r="22" spans="1:9" x14ac:dyDescent="0.25">
      <c r="A22" s="1"/>
      <c r="B22" s="49" t="s">
        <v>78</v>
      </c>
      <c r="C22" s="50"/>
      <c r="D22" s="50"/>
      <c r="E22" s="50"/>
      <c r="F22" s="51"/>
      <c r="G22" s="11">
        <f>G16-G10</f>
        <v>-172447.21442000009</v>
      </c>
      <c r="H22" s="22" t="s">
        <v>3</v>
      </c>
      <c r="I22" s="1"/>
    </row>
    <row r="23" spans="1:9" ht="15" customHeight="1" x14ac:dyDescent="0.25">
      <c r="A23" s="1"/>
      <c r="B23" s="52" t="s">
        <v>140</v>
      </c>
      <c r="C23" s="53"/>
      <c r="D23" s="53"/>
      <c r="E23" s="53"/>
      <c r="F23" s="54"/>
      <c r="G23" s="20">
        <f>SUM(G21:G22)</f>
        <v>-172447.21442000009</v>
      </c>
      <c r="H23" s="21" t="s">
        <v>3</v>
      </c>
      <c r="I23" s="1"/>
    </row>
    <row r="24" spans="1:9" ht="15" customHeight="1" x14ac:dyDescent="0.25">
      <c r="A24" s="1"/>
      <c r="B24" s="52" t="s">
        <v>141</v>
      </c>
      <c r="C24" s="53"/>
      <c r="D24" s="53"/>
      <c r="E24" s="53"/>
      <c r="F24" s="54"/>
      <c r="G24" s="20">
        <f>G23*(1+Prisudvikling2019)^3</f>
        <v>-181338.8785075921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61" t="s">
        <v>112</v>
      </c>
      <c r="C26" s="61"/>
      <c r="D26" s="61"/>
      <c r="E26" s="61"/>
      <c r="F26" s="61"/>
      <c r="G26" s="61"/>
      <c r="H26" s="61"/>
      <c r="I26" s="1"/>
    </row>
    <row r="27" spans="1:9" ht="26.25" x14ac:dyDescent="0.25">
      <c r="A27" s="1"/>
      <c r="B27" s="61" t="s">
        <v>155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134</v>
      </c>
      <c r="C3" s="90"/>
      <c r="D3" s="90"/>
      <c r="E3" s="90"/>
      <c r="F3" s="90"/>
      <c r="G3" s="1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82</v>
      </c>
      <c r="C8" s="43"/>
      <c r="D8" s="43"/>
      <c r="E8" s="43"/>
      <c r="F8" s="44"/>
      <c r="G8" s="1"/>
      <c r="H8" s="1"/>
    </row>
    <row r="9" spans="1:8" ht="15" customHeight="1" x14ac:dyDescent="0.25">
      <c r="A9" s="1"/>
      <c r="B9" s="32" t="s">
        <v>109</v>
      </c>
      <c r="C9" s="33"/>
      <c r="D9" s="40"/>
      <c r="E9" s="18" t="s">
        <v>57</v>
      </c>
      <c r="F9" s="18"/>
      <c r="G9" s="1"/>
      <c r="H9" s="1"/>
    </row>
    <row r="10" spans="1:8" x14ac:dyDescent="0.25">
      <c r="A10" s="1"/>
      <c r="B10" s="55" t="s">
        <v>151</v>
      </c>
      <c r="C10" s="56"/>
      <c r="D10" s="57"/>
      <c r="E10" s="25">
        <v>582634</v>
      </c>
      <c r="F10" s="22" t="s">
        <v>3</v>
      </c>
      <c r="G10" s="1"/>
      <c r="H10" s="1"/>
    </row>
    <row r="11" spans="1:8" x14ac:dyDescent="0.25">
      <c r="A11" s="1"/>
      <c r="B11" s="55" t="s">
        <v>152</v>
      </c>
      <c r="C11" s="56"/>
      <c r="D11" s="57"/>
      <c r="E11" s="25">
        <v>2238</v>
      </c>
      <c r="F11" s="22" t="s">
        <v>3</v>
      </c>
      <c r="G11" s="1"/>
      <c r="H11" s="1"/>
    </row>
    <row r="12" spans="1:8" x14ac:dyDescent="0.25">
      <c r="A12" s="1"/>
      <c r="B12" s="55" t="s">
        <v>153</v>
      </c>
      <c r="C12" s="56"/>
      <c r="D12" s="57"/>
      <c r="E12" s="25">
        <v>7037</v>
      </c>
      <c r="F12" s="22" t="s">
        <v>3</v>
      </c>
      <c r="G12" s="1"/>
      <c r="H12" s="1"/>
    </row>
    <row r="13" spans="1:8" x14ac:dyDescent="0.25">
      <c r="A13" s="1"/>
      <c r="B13" s="42" t="s">
        <v>137</v>
      </c>
      <c r="C13" s="43"/>
      <c r="D13" s="44"/>
      <c r="E13" s="20">
        <f>SUM(E10:E12)</f>
        <v>591909</v>
      </c>
      <c r="F13" s="21" t="s">
        <v>3</v>
      </c>
      <c r="G13" s="1"/>
      <c r="H13" s="1"/>
    </row>
    <row r="14" spans="1:8" x14ac:dyDescent="0.25">
      <c r="A14" s="1"/>
      <c r="B14" s="42" t="s">
        <v>138</v>
      </c>
      <c r="C14" s="43"/>
      <c r="D14" s="44"/>
      <c r="E14" s="20">
        <f>E13*(1+Prisudvikling2019)^2</f>
        <v>612084.57932948985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129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125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99" t="s">
        <v>33</v>
      </c>
      <c r="C9" s="100"/>
      <c r="D9" s="101"/>
      <c r="E9" s="25">
        <v>-151893.70000000001</v>
      </c>
      <c r="F9" s="22" t="s">
        <v>3</v>
      </c>
      <c r="G9" s="19"/>
      <c r="H9" s="30"/>
      <c r="I9" s="1"/>
    </row>
    <row r="10" spans="1:9" x14ac:dyDescent="0.25">
      <c r="A10" s="1"/>
      <c r="B10" s="93" t="s">
        <v>116</v>
      </c>
      <c r="C10" s="94"/>
      <c r="D10" s="95"/>
      <c r="E10" s="11">
        <v>4</v>
      </c>
      <c r="F10" s="22" t="s">
        <v>43</v>
      </c>
      <c r="G10" s="14"/>
      <c r="H10" s="31"/>
      <c r="I10" s="1"/>
    </row>
    <row r="11" spans="1:9" x14ac:dyDescent="0.25">
      <c r="A11" s="1"/>
      <c r="B11" s="93" t="s">
        <v>126</v>
      </c>
      <c r="C11" s="94"/>
      <c r="D11" s="95"/>
      <c r="E11" s="11">
        <f>E9/E10</f>
        <v>-37973.425000000003</v>
      </c>
      <c r="F11" s="22" t="s">
        <v>3</v>
      </c>
      <c r="G11" s="14"/>
      <c r="H11" s="31"/>
      <c r="I11" s="1"/>
    </row>
    <row r="12" spans="1:9" x14ac:dyDescent="0.25">
      <c r="A12" s="1"/>
      <c r="B12" s="96" t="s">
        <v>132</v>
      </c>
      <c r="C12" s="97"/>
      <c r="D12" s="97"/>
      <c r="E12" s="97"/>
      <c r="F12" s="98"/>
      <c r="G12" s="20">
        <f>E11</f>
        <v>-37973.425000000003</v>
      </c>
      <c r="H12" s="21" t="s">
        <v>3</v>
      </c>
      <c r="I12" s="1"/>
    </row>
    <row r="13" spans="1:9" x14ac:dyDescent="0.25">
      <c r="A13" s="1"/>
      <c r="B13" s="96" t="s">
        <v>128</v>
      </c>
      <c r="C13" s="97"/>
      <c r="D13" s="97"/>
      <c r="E13" s="97"/>
      <c r="F13" s="98"/>
      <c r="G13" s="20">
        <f>G12*(1+Prisudvikling2018)*(1+Prisudvikling2019)^4</f>
        <v>-41316.847499729643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6" t="s">
        <v>123</v>
      </c>
      <c r="C17" s="97"/>
      <c r="D17" s="97"/>
      <c r="E17" s="97"/>
      <c r="F17" s="97"/>
      <c r="G17" s="97"/>
      <c r="H17" s="98"/>
      <c r="I17" s="1"/>
    </row>
    <row r="18" spans="1:9" x14ac:dyDescent="0.25">
      <c r="A18" s="1"/>
      <c r="B18" s="99" t="s">
        <v>123</v>
      </c>
      <c r="C18" s="100"/>
      <c r="D18" s="101"/>
      <c r="E18" s="25">
        <v>-683358.91695023701</v>
      </c>
      <c r="F18" s="22" t="s">
        <v>3</v>
      </c>
      <c r="G18" s="14"/>
      <c r="H18" s="31"/>
      <c r="I18" s="1"/>
    </row>
    <row r="19" spans="1:9" x14ac:dyDescent="0.25">
      <c r="A19" s="1"/>
      <c r="B19" s="93" t="s">
        <v>116</v>
      </c>
      <c r="C19" s="94"/>
      <c r="D19" s="95"/>
      <c r="E19" s="11">
        <v>4</v>
      </c>
      <c r="F19" s="22" t="s">
        <v>43</v>
      </c>
      <c r="G19" s="14"/>
      <c r="H19" s="31"/>
      <c r="I19" s="1"/>
    </row>
    <row r="20" spans="1:9" x14ac:dyDescent="0.25">
      <c r="A20" s="1"/>
      <c r="B20" s="93" t="s">
        <v>127</v>
      </c>
      <c r="C20" s="94"/>
      <c r="D20" s="95"/>
      <c r="E20" s="11">
        <f>E18/E19</f>
        <v>-170839.72923755925</v>
      </c>
      <c r="F20" s="22" t="s">
        <v>3</v>
      </c>
      <c r="G20" s="14"/>
      <c r="H20" s="31"/>
      <c r="I20" s="1"/>
    </row>
    <row r="21" spans="1:9" x14ac:dyDescent="0.25">
      <c r="A21" s="1"/>
      <c r="B21" s="96" t="s">
        <v>132</v>
      </c>
      <c r="C21" s="97"/>
      <c r="D21" s="97"/>
      <c r="E21" s="97"/>
      <c r="F21" s="98"/>
      <c r="G21" s="20">
        <f>E20</f>
        <v>-170839.72923755925</v>
      </c>
      <c r="H21" s="21" t="s">
        <v>3</v>
      </c>
      <c r="I21" s="1"/>
    </row>
    <row r="22" spans="1:9" x14ac:dyDescent="0.25">
      <c r="A22" s="1"/>
      <c r="B22" s="96" t="s">
        <v>128</v>
      </c>
      <c r="C22" s="97"/>
      <c r="D22" s="97"/>
      <c r="E22" s="97"/>
      <c r="F22" s="98"/>
      <c r="G22" s="20">
        <f>G21*(1+Prisudvikling2018)*(1+Prisudvikling2019)^4</f>
        <v>-185881.54847247354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21:F21"/>
    <mergeCell ref="B22:F22"/>
    <mergeCell ref="B17:H17"/>
    <mergeCell ref="B18:D18"/>
    <mergeCell ref="B19:D19"/>
    <mergeCell ref="B20:D20"/>
    <mergeCell ref="B10:D10"/>
    <mergeCell ref="B11:D11"/>
    <mergeCell ref="B12:F12"/>
    <mergeCell ref="B13:F13"/>
    <mergeCell ref="B3:H4"/>
    <mergeCell ref="B8:H8"/>
    <mergeCell ref="B9:D9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2018-08-10T11:20:31Z</dcterms:modified>
</cp:coreProperties>
</file>