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746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Korrektion prisloft 16" sheetId="32" r:id="rId9"/>
    <sheet name="Fane 7. Hist. over el. underdæk" sheetId="10" r:id="rId10"/>
    <sheet name="Fane 8. Kontrol af ØR2017" sheetId="31" r:id="rId11"/>
    <sheet name="Fane 9. Anlægsprojekter" sheetId="11" r:id="rId12"/>
    <sheet name="Fane 10. Tillæg" sheetId="20" r:id="rId13"/>
    <sheet name="Fane 11. Bortfald" sheetId="21" r:id="rId14"/>
    <sheet name="Fane 12. Nøgletal" sheetId="26" r:id="rId15"/>
  </sheets>
  <definedNames>
    <definedName name="GenereltKrav">'Fane 12. Nøgletal'!$F$16</definedName>
    <definedName name="Prisudvikling2017">'Fane 12. Nøgletal'!$F$9</definedName>
    <definedName name="Prisudvikling2018">'Fane 12. Nøgletal'!$F$10</definedName>
    <definedName name="Prisudvikling2019">'Fane 12. Nøgletal'!$F$11</definedName>
  </definedNames>
  <calcPr calcId="145621"/>
</workbook>
</file>

<file path=xl/calcChain.xml><?xml version="1.0" encoding="utf-8"?>
<calcChain xmlns="http://schemas.openxmlformats.org/spreadsheetml/2006/main">
  <c r="E12" i="31" l="1"/>
  <c r="E20" i="32" l="1"/>
  <c r="G21" i="32" s="1"/>
  <c r="G22" i="32" s="1"/>
  <c r="E11" i="32"/>
  <c r="G12" i="32" s="1"/>
  <c r="G13" i="32" s="1"/>
  <c r="E18" i="31"/>
  <c r="E20" i="31" s="1"/>
  <c r="G21" i="31" s="1"/>
  <c r="G22" i="31" s="1"/>
  <c r="C26" i="22" s="1"/>
  <c r="C25" i="23" s="1"/>
  <c r="C25" i="22" l="1"/>
  <c r="C23" i="22"/>
  <c r="C22" i="23" s="1"/>
  <c r="G12" i="31"/>
  <c r="C27" i="22" l="1"/>
  <c r="E27" i="22" s="1"/>
  <c r="C24" i="23"/>
  <c r="C26" i="23" s="1"/>
  <c r="E26" i="23" s="1"/>
  <c r="E22" i="23" l="1"/>
  <c r="D10" i="20" l="1"/>
  <c r="G11" i="11"/>
  <c r="F11" i="11"/>
  <c r="G13" i="27" l="1"/>
  <c r="C15" i="23" l="1"/>
  <c r="C28" i="2" l="1"/>
  <c r="C16" i="23"/>
  <c r="E16" i="23" s="1"/>
  <c r="C16" i="22"/>
  <c r="C17" i="22" s="1"/>
  <c r="E17" i="22" s="1"/>
  <c r="C17" i="15"/>
  <c r="C18" i="15" s="1"/>
  <c r="E18" i="15" s="1"/>
  <c r="C18" i="2"/>
  <c r="C19" i="2" s="1"/>
  <c r="E19" i="2" s="1"/>
  <c r="G21" i="7" l="1"/>
  <c r="G22" i="7"/>
  <c r="G17" i="7"/>
  <c r="D11" i="20"/>
  <c r="E11" i="21"/>
  <c r="E12" i="21" s="1"/>
  <c r="C11" i="21"/>
  <c r="C12" i="21" s="1"/>
  <c r="C10" i="2"/>
  <c r="C10" i="15" s="1"/>
  <c r="C9" i="2"/>
  <c r="E14" i="19"/>
  <c r="E15" i="19" s="1"/>
  <c r="C21" i="2" l="1"/>
  <c r="C23" i="2" s="1"/>
  <c r="E23" i="2" s="1"/>
  <c r="C18" i="23"/>
  <c r="C19" i="22"/>
  <c r="C21" i="22" s="1"/>
  <c r="E21" i="22" s="1"/>
  <c r="C20" i="15"/>
  <c r="C22" i="15" s="1"/>
  <c r="E22" i="15" s="1"/>
  <c r="G23" i="7"/>
  <c r="G24" i="7" s="1"/>
  <c r="C10" i="22" s="1"/>
  <c r="C12" i="2"/>
  <c r="C20" i="23" l="1"/>
  <c r="E20" i="23" s="1"/>
  <c r="G11" i="10"/>
  <c r="E28" i="2" l="1"/>
  <c r="G13" i="10"/>
  <c r="C30" i="2" l="1"/>
  <c r="C24" i="15"/>
  <c r="E24" i="15" s="1"/>
  <c r="D12" i="20" l="1"/>
  <c r="G11" i="7" l="1"/>
  <c r="E11" i="11" l="1"/>
  <c r="F10" i="20" s="1"/>
  <c r="F11" i="20" s="1"/>
  <c r="F12" i="20" s="1"/>
  <c r="C11" i="2" s="1"/>
  <c r="E30" i="2"/>
  <c r="C13" i="2" l="1"/>
  <c r="C14" i="2" s="1"/>
  <c r="C15" i="2" s="1"/>
  <c r="C11" i="15"/>
  <c r="E23" i="22"/>
  <c r="E15" i="2" l="1"/>
  <c r="E31" i="2" s="1"/>
  <c r="C9" i="15" l="1"/>
  <c r="C12" i="15" l="1"/>
  <c r="C13" i="15" s="1"/>
  <c r="C14" i="15" l="1"/>
  <c r="E14" i="15" s="1"/>
  <c r="E25" i="15" s="1"/>
  <c r="C9" i="22" l="1"/>
  <c r="C11" i="22" s="1"/>
  <c r="C12" i="22" s="1"/>
  <c r="C13" i="22" s="1"/>
  <c r="E13" i="22" s="1"/>
  <c r="E28" i="22" s="1"/>
  <c r="C9" i="23" l="1"/>
  <c r="C10" i="23" s="1"/>
  <c r="C11" i="23" s="1"/>
  <c r="C12" i="23" l="1"/>
  <c r="E12" i="23" s="1"/>
  <c r="E27" i="23" s="1"/>
</calcChain>
</file>

<file path=xl/sharedStrings.xml><?xml version="1.0" encoding="utf-8"?>
<sst xmlns="http://schemas.openxmlformats.org/spreadsheetml/2006/main" count="360" uniqueCount="159">
  <si>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</si>
  <si>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</si>
  <si>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</si>
  <si>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</si>
  <si>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</si>
  <si>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</si>
  <si>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</si>
  <si>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</si>
  <si>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</si>
  <si>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</si>
  <si>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</si>
  <si>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</si>
  <si>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</si>
  <si>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</si>
  <si>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</si>
  <si>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</si>
  <si>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</si>
  <si>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</si>
  <si>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</si>
  <si>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</si>
  <si>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</si>
  <si>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</si>
  <si>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</si>
  <si>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</si>
  <si>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</si>
  <si>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</si>
  <si>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</si>
  <si>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</si>
  <si>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</si>
  <si>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</si>
  <si>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</si>
  <si>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</si>
  <si>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</si>
  <si>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Samlet korrektion af budgetterede omkostninger i 2016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</si>
  <si>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</si>
  <si>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</si>
  <si>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</si>
  <si>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</si>
  <si>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</si>
  <si>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</si>
  <si>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</si>
  <si>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</si>
  <si>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Prisudvikling i kr.</t>
  </si>
  <si>
    <t>år</t>
  </si>
  <si>
    <t>Periodevise driftsomkostninger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</si>
  <si>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</si>
  <si>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</si>
  <si>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</si>
  <si>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</si>
  <si>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</si>
  <si>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 xml:space="preserve"> -Heraf nye omkostninger i ØR2018</t>
  </si>
  <si>
    <t>Nye tillæg</t>
  </si>
  <si>
    <t>Bortfald eller nedsættelse af omkostninger</t>
  </si>
  <si>
    <t>Prisudvikling til ØR2017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</si>
  <si>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</si>
  <si>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</si>
  <si>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</si>
  <si>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</si>
  <si>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</si>
  <si>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- Heraf periodevise driftsomkostninger</t>
  </si>
  <si>
    <t>Videreførte omkostninger fra den økonomiske ramme for 2018</t>
  </si>
  <si>
    <t>- Heraf nye omkostninger i den økonomiske ramme for 2018</t>
  </si>
  <si>
    <t>Korrektion af periodevise driftsomkostninger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</si>
  <si>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</si>
  <si>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</si>
  <si>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</si>
  <si>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</si>
  <si>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</si>
  <si>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 xml:space="preserve"> -Heraf nye omkostninger i ØR2019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</si>
  <si>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</si>
  <si>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</si>
  <si>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</si>
  <si>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</si>
  <si>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</si>
  <si>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Grundlag eksl. ikke-påvirkelige omkostninger og periodevise driftsomkostninger (i 2017-niveau)</t>
  </si>
  <si>
    <t>Korrigeret grundlag til brug for den økonomiske ramme for 2021 og frem</t>
  </si>
  <si>
    <t>Korrigeret grundlag eksl. ikke-påvirkelige omkostninger og periodevise driftsomkostninger (i 2017-niveau)</t>
  </si>
  <si>
    <t>Korrektion af driftsomkostninger</t>
  </si>
  <si>
    <t>Korrektion af anlægsomkostninger</t>
  </si>
  <si>
    <t>Økonomisk ramme for 2022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</si>
  <si>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</si>
  <si>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</si>
  <si>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</si>
  <si>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Effektiviseringskrav til periodevise driftsomkostninger</t>
  </si>
  <si>
    <t>Periodevise driftsomkostninger i alt</t>
  </si>
  <si>
    <t>Økonomisk ramme for 2021</t>
  </si>
  <si>
    <t>Tilbagebetaling af vejbidrag</t>
  </si>
  <si>
    <t>Ikke-påvirkelige omkostninger i alt</t>
  </si>
  <si>
    <t>Korrektion af de økonomiske rammer for 2017 og 2018</t>
  </si>
  <si>
    <t>Driftsomkostnigner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</si>
  <si>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</si>
  <si>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</si>
  <si>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</si>
  <si>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</si>
  <si>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10: Tillæg</t>
  </si>
  <si>
    <t>Fane 2.3</t>
  </si>
  <si>
    <t>Fane 2.4</t>
  </si>
  <si>
    <t>Samlet økonomisk ramme for 2020</t>
  </si>
  <si>
    <t>Samlet økonomisk ramme for 2021</t>
  </si>
  <si>
    <t>Omkostninger i ØR2018</t>
  </si>
  <si>
    <t>Ikke-påvirkelige omk.</t>
  </si>
  <si>
    <t>Korrigeret grundlag</t>
  </si>
  <si>
    <t>Hist. over el. underdæk</t>
  </si>
  <si>
    <t>Bortfald</t>
  </si>
  <si>
    <t>Til statusmeddelelse 2019</t>
  </si>
  <si>
    <t>Anlægsprojekter</t>
  </si>
  <si>
    <t>Indtægtsramme i den økonomiske ramme for 2017</t>
  </si>
  <si>
    <t>Faktiske indtægter i 2017</t>
  </si>
  <si>
    <t>Difference</t>
  </si>
  <si>
    <t>Beskrivelse af ikke-påvirkelige omkostninger</t>
  </si>
  <si>
    <t>Anskaffelsespris (kr.)</t>
  </si>
  <si>
    <t>Anlægsomkostninger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</si>
  <si>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</si>
  <si>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</si>
  <si>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</si>
  <si>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Indregning af difference hvis negativ</t>
  </si>
  <si>
    <t>Antal år i reguleringsperiode</t>
  </si>
  <si>
    <t>Fordeling af difference per år i reguleringsperiode</t>
  </si>
  <si>
    <t>Til indregning i de økonomiske rammer for 2021-2024</t>
  </si>
  <si>
    <t>Fradrag i den økonomiske ramme for 2021-2024 i alt (2017-prisniveau)</t>
  </si>
  <si>
    <t>Fradrag i den økonomiske ramme for 2021-2024 i alt (2021-prisniveau)</t>
  </si>
  <si>
    <t>Fradrag for kontrol med overholdelse af indtægtsrammen i 2017</t>
  </si>
  <si>
    <t>Kontrol med overholdelse af indtægtsrammer</t>
  </si>
  <si>
    <t>Kontrol for overholdelse af indtægtsrammen i prisloft 2016</t>
  </si>
  <si>
    <t>Samlet korrektioner for overholdese af indtægtsrammer</t>
  </si>
  <si>
    <t>Korrektion af budgetterede omkostninger i prisloft 2016</t>
  </si>
  <si>
    <t>Fordeling af korrektion af prisloft 2016 per år i reguleringsperiode</t>
  </si>
  <si>
    <t>Fordeling af kontrol af prisloft 2016 per år i reguleringsperiode</t>
  </si>
  <si>
    <t>Tillæg/fradrag i den økonomiske ramme for 2021-2024 i alt (2021-prisniveau)</t>
  </si>
  <si>
    <t>Fane 6: Korrektion og kontrol af prisloft 2016</t>
  </si>
  <si>
    <t>Korrektion prisloft 16</t>
  </si>
  <si>
    <t>Kontrol af ØR2017</t>
  </si>
  <si>
    <t>Tillæg/fradrag i den økonomiske ramme for 2021-2024 i alt (2016-prisniveau)</t>
  </si>
  <si>
    <t>Samlet økonomisk ramme for 2022</t>
  </si>
  <si>
    <t>Fane 5: Korrektion af ikke-påvirkelige omkostninger</t>
  </si>
  <si>
    <t>Fane 7: Historisk over- eller underdækning</t>
  </si>
  <si>
    <t>Fane 8: Kontrol med overholdelse af den økonomiske ramme for 2017</t>
  </si>
  <si>
    <t>Ikke-påvirkelige omkostninger i 2017-prisniveau</t>
  </si>
  <si>
    <t>Ikke-påvirkelige omkostninger i 2019-prisniveau</t>
  </si>
  <si>
    <t>Fane 4: Korrigeret grundlag til brug for den økonomiske ramme for 2021 og frem</t>
  </si>
  <si>
    <t>Korrigeret grundlag (i 2017-prisniveau)</t>
  </si>
  <si>
    <t>Korrigeret grundlag (i 2020-prisniveau)</t>
  </si>
  <si>
    <t>Fane 9: Anlægsprojekter igangsat inden 1. marts 2016</t>
  </si>
  <si>
    <t>Anlægsprojekter igangsat inden 1. marts 2016</t>
  </si>
  <si>
    <t>Anlægsprojekter igangsat inden 1. marts 2016 i alt</t>
  </si>
  <si>
    <t>Bortfald eller nedsættelse i alt i 2017-prisniveau</t>
  </si>
  <si>
    <t>Bortfald eller nedsættelse i alt i 2018-prisniveau</t>
  </si>
  <si>
    <t>Nye tillæg i alt i 2017-prisniveau</t>
  </si>
  <si>
    <t>Nye tillæg i alt i 2018-prisniveau</t>
  </si>
  <si>
    <t>Fane 13: Nøgletal</t>
  </si>
  <si>
    <t>Ingen anlægsprojekter</t>
  </si>
  <si>
    <t>Afgift for ledingsført vand</t>
  </si>
  <si>
    <t>Afgift til Forsyningsekretariatet</t>
  </si>
  <si>
    <t>Skatter og afgifter</t>
  </si>
  <si>
    <t>Selskabsskatter</t>
  </si>
  <si>
    <t>Periodevise driftsomkostninger under prisloftsbekendtgørelsen</t>
  </si>
  <si>
    <t>Bemærk desuden, at korrektion af ikke-påvirkelige omkostninger ikke er medtaget i denne opgørelse, men fremgår af fane 5.</t>
  </si>
  <si>
    <t>Ingen bortfald eller nedsættelse</t>
  </si>
  <si>
    <t>Samlet korrektioner for overholdelse af indtægtsrammer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</si>
</sst>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protection locked="0"/>
    </xf>
    <xf numFmtId="0" fontId="8" fillId="9" borderId="3" xfId="0" applyFont="1" applyFill="1" applyBorder="1" applyAlignment="1" applyProtection="1">
      <protection locked="0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0" fontId="8" fillId="2" borderId="0" xfId="0" applyFont="1" applyFill="1" applyAlignment="1" applyProtection="1">
      <alignment wrapText="1"/>
    </xf>
    <xf numFmtId="3" fontId="8" fillId="4" borderId="3" xfId="0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3" applyNumberFormat="1" applyFont="1" applyFill="1" applyBorder="1" applyAlignment="1" applyProtection="1"/>
    <xf numFmtId="10" fontId="8" fillId="9" borderId="3" xfId="3" applyNumberFormat="1" applyFont="1" applyFill="1" applyBorder="1" applyAlignment="1" applyProtection="1"/>
    <xf numFmtId="3" fontId="8" fillId="9" borderId="1" xfId="0" applyNumberFormat="1" applyFont="1" applyFill="1" applyBorder="1" applyAlignment="1" applyProtection="1">
      <alignment wrapText="1"/>
      <protection locked="0"/>
    </xf>
    <xf numFmtId="0" fontId="8" fillId="9" borderId="2" xfId="0" applyFont="1" applyFill="1" applyBorder="1" applyAlignment="1" applyProtection="1">
      <alignment wrapText="1"/>
      <protection locked="0"/>
    </xf>
    <xf numFmtId="0" fontId="1" fillId="3" borderId="6" xfId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10" borderId="6" xfId="1" applyFont="1" applyFill="1" applyBorder="1" applyAlignment="1" applyProtection="1">
      <alignment horizontal="center"/>
    </xf>
    <xf numFmtId="0" fontId="1" fillId="10" borderId="0" xfId="1" applyFont="1" applyFill="1" applyBorder="1" applyAlignment="1" applyProtection="1">
      <alignment horizontal="center"/>
    </xf>
    <xf numFmtId="0" fontId="1" fillId="10" borderId="7" xfId="1" applyFont="1" applyFill="1" applyBorder="1" applyAlignment="1" applyProtection="1">
      <alignment horizontal="center"/>
    </xf>
    <xf numFmtId="0" fontId="1" fillId="8" borderId="6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7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1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1" fillId="5" borderId="7" xfId="1" applyFont="1" applyFill="1" applyBorder="1" applyAlignment="1" applyProtection="1">
      <alignment horizontal="center"/>
    </xf>
    <xf numFmtId="0" fontId="13" fillId="6" borderId="6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7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8.28515625" style="2" customWidth="1"/>
    <col min="2" max="2" width="3.57031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9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8" t="s">
        <v>4</v>
      </c>
      <c r="E6" s="78"/>
      <c r="F6" s="78"/>
      <c r="G6" s="78"/>
      <c r="H6" s="3"/>
      <c r="I6" s="1"/>
    </row>
    <row r="7" spans="1:9" ht="15" customHeight="1" x14ac:dyDescent="0.25">
      <c r="A7" s="1"/>
      <c r="B7" s="1"/>
      <c r="C7" s="3"/>
      <c r="D7" s="78"/>
      <c r="E7" s="78"/>
      <c r="F7" s="78"/>
      <c r="G7" s="78"/>
      <c r="H7" s="3"/>
      <c r="I7" s="1"/>
    </row>
    <row r="8" spans="1:9" ht="15.75" x14ac:dyDescent="0.25">
      <c r="A8" s="1"/>
      <c r="B8" s="1"/>
      <c r="C8" s="4"/>
      <c r="D8" s="83" t="s">
        <v>104</v>
      </c>
      <c r="E8" s="83"/>
      <c r="F8" s="83"/>
      <c r="G8" s="83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2" t="s">
        <v>5</v>
      </c>
      <c r="E11" s="82"/>
      <c r="F11" s="82"/>
      <c r="G11" s="82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9" t="s">
        <v>32</v>
      </c>
      <c r="E13" s="70"/>
      <c r="F13" s="70"/>
      <c r="G13" s="71"/>
      <c r="H13" s="1"/>
      <c r="I13" s="1"/>
    </row>
    <row r="14" spans="1:9" x14ac:dyDescent="0.25">
      <c r="A14" s="1"/>
      <c r="B14" s="1"/>
      <c r="C14" s="6" t="s">
        <v>31</v>
      </c>
      <c r="D14" s="69" t="s">
        <v>97</v>
      </c>
      <c r="E14" s="70"/>
      <c r="F14" s="70"/>
      <c r="G14" s="71"/>
      <c r="H14" s="1"/>
      <c r="I14" s="1"/>
    </row>
    <row r="15" spans="1:9" x14ac:dyDescent="0.25">
      <c r="A15" s="1"/>
      <c r="B15" s="1"/>
      <c r="C15" s="6" t="s">
        <v>95</v>
      </c>
      <c r="D15" s="69" t="s">
        <v>98</v>
      </c>
      <c r="E15" s="70"/>
      <c r="F15" s="70"/>
      <c r="G15" s="71"/>
      <c r="H15" s="1"/>
      <c r="I15" s="1"/>
    </row>
    <row r="16" spans="1:9" x14ac:dyDescent="0.25">
      <c r="A16" s="1"/>
      <c r="B16" s="1"/>
      <c r="C16" s="6" t="s">
        <v>96</v>
      </c>
      <c r="D16" s="69" t="s">
        <v>133</v>
      </c>
      <c r="E16" s="70"/>
      <c r="F16" s="70"/>
      <c r="G16" s="71"/>
      <c r="H16" s="1"/>
      <c r="I16" s="1"/>
    </row>
    <row r="17" spans="1:9" x14ac:dyDescent="0.25">
      <c r="A17" s="1"/>
      <c r="B17" s="1"/>
      <c r="C17" s="6" t="s">
        <v>7</v>
      </c>
      <c r="D17" s="84" t="s">
        <v>99</v>
      </c>
      <c r="E17" s="85"/>
      <c r="F17" s="85"/>
      <c r="G17" s="86"/>
      <c r="H17" s="1"/>
      <c r="I17" s="1"/>
    </row>
    <row r="18" spans="1:9" x14ac:dyDescent="0.25">
      <c r="A18" s="1"/>
      <c r="B18" s="1"/>
      <c r="C18" s="6" t="s">
        <v>8</v>
      </c>
      <c r="D18" s="84" t="s">
        <v>101</v>
      </c>
      <c r="E18" s="85"/>
      <c r="F18" s="85"/>
      <c r="G18" s="86"/>
      <c r="H18" s="1"/>
      <c r="I18" s="1"/>
    </row>
    <row r="19" spans="1:9" x14ac:dyDescent="0.25">
      <c r="A19" s="1"/>
      <c r="B19" s="1"/>
      <c r="C19" s="6" t="s">
        <v>9</v>
      </c>
      <c r="D19" s="84" t="s">
        <v>100</v>
      </c>
      <c r="E19" s="85"/>
      <c r="F19" s="85"/>
      <c r="G19" s="86"/>
      <c r="H19" s="1"/>
      <c r="I19" s="1"/>
    </row>
    <row r="20" spans="1:9" x14ac:dyDescent="0.25">
      <c r="A20" s="1"/>
      <c r="B20" s="1"/>
      <c r="C20" s="6" t="s">
        <v>10</v>
      </c>
      <c r="D20" s="87" t="s">
        <v>130</v>
      </c>
      <c r="E20" s="88"/>
      <c r="F20" s="88"/>
      <c r="G20" s="89"/>
      <c r="H20" s="1"/>
      <c r="I20" s="1"/>
    </row>
    <row r="21" spans="1:9" x14ac:dyDescent="0.25">
      <c r="A21" s="1"/>
      <c r="B21" s="1"/>
      <c r="C21" s="6" t="s">
        <v>11</v>
      </c>
      <c r="D21" s="79" t="s">
        <v>102</v>
      </c>
      <c r="E21" s="80"/>
      <c r="F21" s="80"/>
      <c r="G21" s="81"/>
      <c r="H21" s="1"/>
      <c r="I21" s="1"/>
    </row>
    <row r="22" spans="1:9" x14ac:dyDescent="0.25">
      <c r="A22" s="1"/>
      <c r="B22" s="1"/>
      <c r="C22" s="6" t="s">
        <v>12</v>
      </c>
      <c r="D22" s="79" t="s">
        <v>131</v>
      </c>
      <c r="E22" s="80"/>
      <c r="F22" s="80"/>
      <c r="G22" s="81"/>
      <c r="H22" s="1"/>
      <c r="I22" s="1"/>
    </row>
    <row r="23" spans="1:9" x14ac:dyDescent="0.25">
      <c r="A23" s="1"/>
      <c r="B23" s="1"/>
      <c r="C23" s="6" t="s">
        <v>13</v>
      </c>
      <c r="D23" s="79" t="s">
        <v>105</v>
      </c>
      <c r="E23" s="80"/>
      <c r="F23" s="80"/>
      <c r="G23" s="81"/>
      <c r="H23" s="1"/>
      <c r="I23" s="1"/>
    </row>
    <row r="24" spans="1:9" x14ac:dyDescent="0.25">
      <c r="A24" s="1"/>
      <c r="B24" s="1"/>
      <c r="C24" s="6" t="s">
        <v>25</v>
      </c>
      <c r="D24" s="75" t="s">
        <v>28</v>
      </c>
      <c r="E24" s="76"/>
      <c r="F24" s="76"/>
      <c r="G24" s="77"/>
      <c r="H24" s="1"/>
      <c r="I24" s="1"/>
    </row>
    <row r="25" spans="1:9" x14ac:dyDescent="0.25">
      <c r="A25" s="1"/>
      <c r="B25" s="1"/>
      <c r="C25" s="6" t="s">
        <v>29</v>
      </c>
      <c r="D25" s="72" t="s">
        <v>103</v>
      </c>
      <c r="E25" s="73"/>
      <c r="F25" s="73"/>
      <c r="G25" s="74"/>
      <c r="H25" s="1"/>
      <c r="I25" s="1"/>
    </row>
    <row r="26" spans="1:9" x14ac:dyDescent="0.25">
      <c r="A26" s="1"/>
      <c r="B26" s="1"/>
      <c r="C26" s="6" t="s">
        <v>30</v>
      </c>
      <c r="D26" s="72" t="s">
        <v>66</v>
      </c>
      <c r="E26" s="73"/>
      <c r="F26" s="73"/>
      <c r="G26" s="74"/>
      <c r="H26" s="1"/>
      <c r="I26" s="1"/>
    </row>
    <row r="27" spans="1:9" x14ac:dyDescent="0.25">
      <c r="A27" s="1"/>
      <c r="B27" s="1"/>
      <c r="C27" s="6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7">
    <mergeCell ref="D6:G7"/>
    <mergeCell ref="D22:G22"/>
    <mergeCell ref="D23:G23"/>
    <mergeCell ref="D11:G11"/>
    <mergeCell ref="D8:G8"/>
    <mergeCell ref="D17:G17"/>
    <mergeCell ref="D18:G18"/>
    <mergeCell ref="D19:G19"/>
    <mergeCell ref="D20:G20"/>
    <mergeCell ref="D21:G21"/>
    <mergeCell ref="D13:G13"/>
    <mergeCell ref="D15:G15"/>
    <mergeCell ref="D16:G16"/>
    <mergeCell ref="D26:G26"/>
    <mergeCell ref="D24:G24"/>
    <mergeCell ref="D25:G25"/>
    <mergeCell ref="D14:G14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19:G19" location="'Fane 5. Ikke-påvirkelige omk.'!A1" display="Ikke-påvirkelige omk."/>
    <hyperlink ref="D20:G20" location="'Fane 6. Korrektion prisloft 16'!A1" display="Korrektion prisloft 16"/>
    <hyperlink ref="D21:G21" location="'Fane 7. Hist. over el. underdæk'!A1" display="Hist. over el. underdæk"/>
    <hyperlink ref="D22:G22" location="'Fane 8. Kontrol af ØR2017'!A1" display="Kontrol af ØR2017"/>
    <hyperlink ref="D23:G23" location="'Fane 9. Anlægsprojekter'!A1" display="Anlægsprojekter"/>
    <hyperlink ref="D25:G25" location="'Fane 11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24:G24" location="'Fane 10. Tillæg'!A1" display="Tillæg"/>
    <hyperlink ref="D26:G26" location="'Fane 12. Nøgletal'!A1" display="Nøgletal"/>
  </hyperlinks>
  <pageMargins left="0.8854166666666666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47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29.25" customHeight="1" x14ac:dyDescent="0.25">
      <c r="A9" s="1"/>
      <c r="B9" s="45" t="s">
        <v>60</v>
      </c>
      <c r="C9" s="7">
        <f>'Fane 3. Omkostninger i ØR2018'!G13</f>
        <v>3327327.8108978905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8" t="s">
        <v>50</v>
      </c>
      <c r="C10" s="7">
        <f>'Fane 3. Omkostninger i ØR2018'!G10</f>
        <v>0</v>
      </c>
      <c r="D10" s="8"/>
      <c r="E10" s="36"/>
      <c r="F10" s="13"/>
      <c r="G10" s="1"/>
    </row>
    <row r="11" spans="1:7" x14ac:dyDescent="0.25">
      <c r="A11" s="1"/>
      <c r="B11" s="46" t="s">
        <v>51</v>
      </c>
      <c r="C11" s="11">
        <f>SUM('Fane 10. Tillæg'!D12,'Fane 10. Tillæg'!F12)</f>
        <v>0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6" t="s">
        <v>52</v>
      </c>
      <c r="C12" s="11">
        <f>-SUM('Fane 11. Bortfald'!C12,'Fane 11. Bortfald'!E12)</f>
        <v>0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6" t="s">
        <v>42</v>
      </c>
      <c r="C13" s="11">
        <f>(C9-C10)*Prisudvikling2017+C10*Prisudvikling2018+SUM(C11:C12)*Prisudvikling2019</f>
        <v>42257.063198403208</v>
      </c>
      <c r="D13" s="8" t="s">
        <v>3</v>
      </c>
      <c r="E13" s="12"/>
      <c r="F13" s="13"/>
      <c r="G13" s="1"/>
    </row>
    <row r="14" spans="1:7" ht="15" customHeight="1" x14ac:dyDescent="0.25">
      <c r="A14" s="1"/>
      <c r="B14" s="46" t="s">
        <v>14</v>
      </c>
      <c r="C14" s="11">
        <f>-SUM(C9,C11:C13)*GenereltKrav</f>
        <v>-57282.942859636991</v>
      </c>
      <c r="D14" s="8" t="s">
        <v>3</v>
      </c>
      <c r="E14" s="15"/>
      <c r="F14" s="16"/>
      <c r="G14" s="1"/>
    </row>
    <row r="15" spans="1:7" x14ac:dyDescent="0.25">
      <c r="A15" s="1"/>
      <c r="B15" s="47" t="s">
        <v>46</v>
      </c>
      <c r="C15" s="17">
        <f>SUM(C9,C11:C14)</f>
        <v>3312301.9312366564</v>
      </c>
      <c r="D15" s="18" t="s">
        <v>3</v>
      </c>
      <c r="E15" s="17">
        <f>C15</f>
        <v>3312301.9312366564</v>
      </c>
      <c r="F15" s="18" t="s">
        <v>3</v>
      </c>
      <c r="G15" s="1"/>
    </row>
    <row r="16" spans="1:7" x14ac:dyDescent="0.25">
      <c r="A16" s="1"/>
      <c r="B16" s="42" t="s">
        <v>44</v>
      </c>
      <c r="C16" s="43"/>
      <c r="D16" s="43"/>
      <c r="E16" s="43"/>
      <c r="F16" s="44"/>
      <c r="G16" s="1"/>
    </row>
    <row r="17" spans="1:7" ht="15" customHeight="1" x14ac:dyDescent="0.25">
      <c r="A17" s="1"/>
      <c r="B17" s="46" t="s">
        <v>155</v>
      </c>
      <c r="C17" s="25"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46" t="s">
        <v>83</v>
      </c>
      <c r="C18" s="11">
        <f>-C17*GenereltKrav</f>
        <v>0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32" t="s">
        <v>84</v>
      </c>
      <c r="C19" s="17">
        <f>SUM(C17:C18)</f>
        <v>0</v>
      </c>
      <c r="D19" s="18" t="s">
        <v>3</v>
      </c>
      <c r="E19" s="17">
        <f>C19</f>
        <v>0</v>
      </c>
      <c r="F19" s="18" t="s">
        <v>3</v>
      </c>
      <c r="G19" s="1"/>
    </row>
    <row r="20" spans="1:7" x14ac:dyDescent="0.25">
      <c r="A20" s="1"/>
      <c r="B20" s="42" t="s">
        <v>21</v>
      </c>
      <c r="C20" s="43"/>
      <c r="D20" s="43"/>
      <c r="E20" s="43"/>
      <c r="F20" s="44"/>
      <c r="G20" s="1"/>
    </row>
    <row r="21" spans="1:7" ht="15" customHeight="1" x14ac:dyDescent="0.25">
      <c r="A21" s="1"/>
      <c r="B21" s="46" t="s">
        <v>21</v>
      </c>
      <c r="C21" s="11">
        <f>'Fane 5. Ikke-påvirkelige omk.'!E15</f>
        <v>1812783.0245123068</v>
      </c>
      <c r="D21" s="8" t="s">
        <v>3</v>
      </c>
      <c r="E21" s="12"/>
      <c r="F21" s="13"/>
      <c r="G21" s="1"/>
    </row>
    <row r="22" spans="1:7" ht="15" customHeight="1" x14ac:dyDescent="0.25">
      <c r="A22" s="1"/>
      <c r="B22" s="46" t="s">
        <v>86</v>
      </c>
      <c r="C22" s="25">
        <v>0</v>
      </c>
      <c r="D22" s="8" t="s">
        <v>3</v>
      </c>
      <c r="E22" s="12"/>
      <c r="F22" s="13"/>
      <c r="G22" s="1"/>
    </row>
    <row r="23" spans="1:7" ht="15" customHeight="1" x14ac:dyDescent="0.25">
      <c r="A23" s="1"/>
      <c r="B23" s="32" t="s">
        <v>87</v>
      </c>
      <c r="C23" s="17">
        <f>SUM(C21:C22)</f>
        <v>1812783.0245123068</v>
      </c>
      <c r="D23" s="18" t="s">
        <v>3</v>
      </c>
      <c r="E23" s="17">
        <f>C23</f>
        <v>1812783.0245123068</v>
      </c>
      <c r="F23" s="18" t="s">
        <v>3</v>
      </c>
      <c r="G23" s="1"/>
    </row>
    <row r="24" spans="1:7" ht="15" customHeight="1" x14ac:dyDescent="0.25">
      <c r="A24" s="1"/>
      <c r="B24" s="42" t="s">
        <v>88</v>
      </c>
      <c r="C24" s="43"/>
      <c r="D24" s="43"/>
      <c r="E24" s="43"/>
      <c r="F24" s="44"/>
      <c r="G24" s="1"/>
    </row>
    <row r="25" spans="1:7" ht="15" customHeight="1" x14ac:dyDescent="0.25">
      <c r="A25" s="1"/>
      <c r="B25" s="45" t="s">
        <v>62</v>
      </c>
      <c r="C25" s="67">
        <v>0</v>
      </c>
      <c r="D25" s="8" t="s">
        <v>3</v>
      </c>
      <c r="E25" s="9"/>
      <c r="F25" s="10"/>
      <c r="G25" s="1"/>
    </row>
    <row r="26" spans="1:7" ht="15" customHeight="1" x14ac:dyDescent="0.25">
      <c r="A26" s="1"/>
      <c r="B26" s="45" t="s">
        <v>63</v>
      </c>
      <c r="C26" s="67">
        <v>0</v>
      </c>
      <c r="D26" s="8" t="s">
        <v>3</v>
      </c>
      <c r="E26" s="37"/>
      <c r="F26" s="13"/>
      <c r="G26" s="1"/>
    </row>
    <row r="27" spans="1:7" ht="28.5" customHeight="1" x14ac:dyDescent="0.25">
      <c r="A27" s="1"/>
      <c r="B27" s="46" t="s">
        <v>64</v>
      </c>
      <c r="C27" s="67">
        <v>7017.1401411088082</v>
      </c>
      <c r="D27" s="8" t="s">
        <v>3</v>
      </c>
      <c r="E27" s="36"/>
      <c r="F27" s="13"/>
      <c r="G27" s="1"/>
    </row>
    <row r="28" spans="1:7" ht="15" customHeight="1" x14ac:dyDescent="0.25">
      <c r="A28" s="1"/>
      <c r="B28" s="32" t="s">
        <v>65</v>
      </c>
      <c r="C28" s="17">
        <f>SUM(C25:C27)</f>
        <v>7017.1401411088082</v>
      </c>
      <c r="D28" s="18" t="s">
        <v>3</v>
      </c>
      <c r="E28" s="17">
        <f>C28</f>
        <v>7017.1401411088082</v>
      </c>
      <c r="F28" s="18" t="s">
        <v>3</v>
      </c>
      <c r="G28" s="1"/>
    </row>
    <row r="29" spans="1:7" x14ac:dyDescent="0.25">
      <c r="A29" s="1"/>
      <c r="B29" s="42" t="s">
        <v>15</v>
      </c>
      <c r="C29" s="43"/>
      <c r="D29" s="43"/>
      <c r="E29" s="43"/>
      <c r="F29" s="44"/>
      <c r="G29" s="1"/>
    </row>
    <row r="30" spans="1:7" ht="15" customHeight="1" x14ac:dyDescent="0.25">
      <c r="A30" s="1"/>
      <c r="B30" s="32" t="s">
        <v>23</v>
      </c>
      <c r="C30" s="17">
        <f>'Fane 7. Hist. over el. underdæk'!G13</f>
        <v>0</v>
      </c>
      <c r="D30" s="18" t="s">
        <v>3</v>
      </c>
      <c r="E30" s="17">
        <f>C30</f>
        <v>0</v>
      </c>
      <c r="F30" s="18" t="s">
        <v>3</v>
      </c>
      <c r="G30" s="1"/>
    </row>
    <row r="31" spans="1:7" x14ac:dyDescent="0.25">
      <c r="A31" s="1"/>
      <c r="B31" s="42" t="s">
        <v>35</v>
      </c>
      <c r="C31" s="43"/>
      <c r="D31" s="44"/>
      <c r="E31" s="20">
        <f>SUM(E15,E19,E23,E28,E30)</f>
        <v>5132102.0958900722</v>
      </c>
      <c r="F31" s="21" t="s">
        <v>3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48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5" t="s">
        <v>67</v>
      </c>
      <c r="C9" s="7">
        <f>'Fane 2.1. Økonomisk ramme 2019'!E15</f>
        <v>3312301.9312366564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6" t="s">
        <v>50</v>
      </c>
      <c r="C10" s="7">
        <f>'Fane 2.1. Økonomisk ramme 2019'!C10*(1+Prisudvikling2018)*(1-GenereltKrav)</f>
        <v>0</v>
      </c>
      <c r="D10" s="8" t="s">
        <v>3</v>
      </c>
      <c r="E10" s="36"/>
      <c r="F10" s="13"/>
      <c r="G10" s="1"/>
    </row>
    <row r="11" spans="1:7" ht="15" customHeight="1" x14ac:dyDescent="0.25">
      <c r="A11" s="1"/>
      <c r="B11" s="46" t="s">
        <v>68</v>
      </c>
      <c r="C11" s="7">
        <f>SUM('Fane 2.1. Økonomisk ramme 2019'!C11:C12)*(1+Prisudvikling2019)*(1-GenereltKrav)</f>
        <v>0</v>
      </c>
      <c r="D11" s="8" t="s">
        <v>3</v>
      </c>
      <c r="E11" s="36"/>
      <c r="F11" s="13"/>
      <c r="G11" s="1"/>
    </row>
    <row r="12" spans="1:7" ht="15" customHeight="1" x14ac:dyDescent="0.25">
      <c r="A12" s="1"/>
      <c r="B12" s="46" t="s">
        <v>42</v>
      </c>
      <c r="C12" s="11">
        <f>(C9-C10-C11)*Prisudvikling2017+C10*Prisudvikling2018+C11*Prisudvikling2019</f>
        <v>42066.234526705535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6" t="s">
        <v>14</v>
      </c>
      <c r="C13" s="11">
        <f>-SUM(C9,C12)*GenereltKrav</f>
        <v>-57024.258817977156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7" t="s">
        <v>46</v>
      </c>
      <c r="C14" s="17">
        <f>SUM(C9,C12:C13)</f>
        <v>3297343.9069453846</v>
      </c>
      <c r="D14" s="18" t="s">
        <v>3</v>
      </c>
      <c r="E14" s="17">
        <f>C14</f>
        <v>3297343.9069453846</v>
      </c>
      <c r="F14" s="18" t="s">
        <v>3</v>
      </c>
      <c r="G14" s="1"/>
    </row>
    <row r="15" spans="1:7" ht="15" customHeight="1" x14ac:dyDescent="0.25">
      <c r="A15" s="1"/>
      <c r="B15" s="42" t="s">
        <v>44</v>
      </c>
      <c r="C15" s="43"/>
      <c r="D15" s="43"/>
      <c r="E15" s="43"/>
      <c r="F15" s="44"/>
      <c r="G15" s="1"/>
    </row>
    <row r="16" spans="1:7" ht="15" customHeight="1" x14ac:dyDescent="0.25">
      <c r="A16" s="1"/>
      <c r="B16" s="46" t="s">
        <v>155</v>
      </c>
      <c r="C16" s="25"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46" t="s">
        <v>83</v>
      </c>
      <c r="C17" s="11">
        <f>-C16*GenereltKrav</f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32" t="s">
        <v>84</v>
      </c>
      <c r="C18" s="17">
        <f>SUM(C16:C17)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42" t="s">
        <v>21</v>
      </c>
      <c r="C19" s="43"/>
      <c r="D19" s="43"/>
      <c r="E19" s="43"/>
      <c r="F19" s="44"/>
      <c r="G19" s="1"/>
    </row>
    <row r="20" spans="1:7" ht="14.25" customHeight="1" x14ac:dyDescent="0.25">
      <c r="A20" s="1"/>
      <c r="B20" s="46" t="s">
        <v>21</v>
      </c>
      <c r="C20" s="11">
        <f>'Fane 5. Ikke-påvirkelige omk.'!E15*(1+Prisudvikling2019)</f>
        <v>1843419.0576265645</v>
      </c>
      <c r="D20" s="8" t="s">
        <v>3</v>
      </c>
      <c r="E20" s="12"/>
      <c r="F20" s="13"/>
      <c r="G20" s="1"/>
    </row>
    <row r="21" spans="1:7" ht="14.25" customHeight="1" x14ac:dyDescent="0.25">
      <c r="A21" s="1"/>
      <c r="B21" s="46" t="s">
        <v>86</v>
      </c>
      <c r="C21" s="25">
        <v>0</v>
      </c>
      <c r="D21" s="8" t="s">
        <v>3</v>
      </c>
      <c r="E21" s="12"/>
      <c r="F21" s="13"/>
      <c r="G21" s="1"/>
    </row>
    <row r="22" spans="1:7" ht="14.25" customHeight="1" x14ac:dyDescent="0.25">
      <c r="A22" s="1"/>
      <c r="B22" s="32" t="s">
        <v>87</v>
      </c>
      <c r="C22" s="17">
        <f>SUM(C20:C21)</f>
        <v>1843419.0576265645</v>
      </c>
      <c r="D22" s="18" t="s">
        <v>3</v>
      </c>
      <c r="E22" s="17">
        <f>C22</f>
        <v>1843419.0576265645</v>
      </c>
      <c r="F22" s="18" t="s">
        <v>3</v>
      </c>
      <c r="G22" s="1"/>
    </row>
    <row r="23" spans="1:7" x14ac:dyDescent="0.25">
      <c r="A23" s="1"/>
      <c r="B23" s="42" t="s">
        <v>15</v>
      </c>
      <c r="C23" s="43"/>
      <c r="D23" s="43"/>
      <c r="E23" s="43"/>
      <c r="F23" s="44"/>
      <c r="G23" s="1"/>
    </row>
    <row r="24" spans="1:7" ht="15" customHeight="1" x14ac:dyDescent="0.25">
      <c r="A24" s="1"/>
      <c r="B24" s="32" t="s">
        <v>23</v>
      </c>
      <c r="C24" s="17">
        <f>IF('Fane 7. Hist. over el. underdæk'!G12&gt;1,'Fane 7. Hist. over el. underdæk'!G13,0)</f>
        <v>0</v>
      </c>
      <c r="D24" s="18" t="s">
        <v>3</v>
      </c>
      <c r="E24" s="17">
        <f>C24</f>
        <v>0</v>
      </c>
      <c r="F24" s="18" t="s">
        <v>3</v>
      </c>
      <c r="G24" s="1"/>
    </row>
    <row r="25" spans="1:7" x14ac:dyDescent="0.25">
      <c r="A25" s="1"/>
      <c r="B25" s="42" t="s">
        <v>69</v>
      </c>
      <c r="C25" s="43"/>
      <c r="D25" s="44"/>
      <c r="E25" s="20">
        <f>SUM(E14,E18,E22,E24)</f>
        <v>5140762.9645719491</v>
      </c>
      <c r="F25" s="21" t="s">
        <v>3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91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91" t="s">
        <v>49</v>
      </c>
      <c r="C5" s="91"/>
      <c r="D5" s="91"/>
      <c r="E5" s="91"/>
      <c r="F5" s="9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9" t="s">
        <v>70</v>
      </c>
      <c r="C9" s="7">
        <f>'Fane 2.2. Økonomisk ramme 2020'!E14</f>
        <v>3297343.9069453846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5" t="s">
        <v>27</v>
      </c>
      <c r="C10" s="7">
        <f>'Fane 4. Korrigeret grundlag'!G24</f>
        <v>46515.897735578117</v>
      </c>
      <c r="D10" s="8" t="s">
        <v>3</v>
      </c>
      <c r="E10" s="36"/>
      <c r="F10" s="13"/>
      <c r="G10" s="1"/>
    </row>
    <row r="11" spans="1:7" ht="15" customHeight="1" x14ac:dyDescent="0.25">
      <c r="A11" s="1"/>
      <c r="B11" s="46" t="s">
        <v>42</v>
      </c>
      <c r="C11" s="11">
        <f>SUM(C9:C10)*Prisudvikling2019</f>
        <v>56511.230699108259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6" t="s">
        <v>14</v>
      </c>
      <c r="C12" s="11">
        <f>-SUM(C9:C11)*GenereltKrav</f>
        <v>-57806.307601461209</v>
      </c>
      <c r="D12" s="8" t="s">
        <v>3</v>
      </c>
      <c r="E12" s="15"/>
      <c r="F12" s="16"/>
      <c r="G12" s="1"/>
    </row>
    <row r="13" spans="1:7" x14ac:dyDescent="0.25">
      <c r="A13" s="1"/>
      <c r="B13" s="47" t="s">
        <v>46</v>
      </c>
      <c r="C13" s="17">
        <f>SUM(C9:C12)</f>
        <v>3342564.7277786098</v>
      </c>
      <c r="D13" s="18" t="s">
        <v>3</v>
      </c>
      <c r="E13" s="17">
        <f>C13</f>
        <v>3342564.7277786098</v>
      </c>
      <c r="F13" s="18" t="s">
        <v>3</v>
      </c>
      <c r="G13" s="1"/>
    </row>
    <row r="14" spans="1:7" x14ac:dyDescent="0.25">
      <c r="A14" s="1"/>
      <c r="B14" s="42" t="s">
        <v>44</v>
      </c>
      <c r="C14" s="43"/>
      <c r="D14" s="43"/>
      <c r="E14" s="43"/>
      <c r="F14" s="44"/>
      <c r="G14" s="1"/>
    </row>
    <row r="15" spans="1:7" ht="15" customHeight="1" x14ac:dyDescent="0.25">
      <c r="A15" s="1"/>
      <c r="B15" s="46" t="s">
        <v>155</v>
      </c>
      <c r="C15" s="25"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46" t="s">
        <v>83</v>
      </c>
      <c r="C16" s="11">
        <f>-C15*GenereltKrav</f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32" t="s">
        <v>84</v>
      </c>
      <c r="C17" s="17">
        <f>SUM(C15:C16)</f>
        <v>0</v>
      </c>
      <c r="D17" s="18" t="s">
        <v>3</v>
      </c>
      <c r="E17" s="17">
        <f>C17</f>
        <v>0</v>
      </c>
      <c r="F17" s="18" t="s">
        <v>3</v>
      </c>
      <c r="G17" s="1"/>
    </row>
    <row r="18" spans="1:7" x14ac:dyDescent="0.25">
      <c r="A18" s="1"/>
      <c r="B18" s="42" t="s">
        <v>21</v>
      </c>
      <c r="C18" s="43"/>
      <c r="D18" s="43"/>
      <c r="E18" s="43"/>
      <c r="F18" s="44"/>
      <c r="G18" s="1"/>
    </row>
    <row r="19" spans="1:7" ht="15" customHeight="1" x14ac:dyDescent="0.25">
      <c r="A19" s="1"/>
      <c r="B19" s="46" t="s">
        <v>21</v>
      </c>
      <c r="C19" s="11">
        <f>'Fane 5. Ikke-påvirkelige omk.'!E15*(1+Prisudvikling2019)^2</f>
        <v>1874572.8397004532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46" t="s">
        <v>86</v>
      </c>
      <c r="C20" s="25">
        <v>0</v>
      </c>
      <c r="D20" s="8" t="s">
        <v>3</v>
      </c>
      <c r="E20" s="12"/>
      <c r="F20" s="13"/>
      <c r="G20" s="1"/>
    </row>
    <row r="21" spans="1:7" ht="15" customHeight="1" x14ac:dyDescent="0.25">
      <c r="A21" s="1"/>
      <c r="B21" s="32" t="s">
        <v>87</v>
      </c>
      <c r="C21" s="17">
        <f>SUM(C19:C20)</f>
        <v>1874572.8397004532</v>
      </c>
      <c r="D21" s="18" t="s">
        <v>3</v>
      </c>
      <c r="E21" s="17">
        <f>C21</f>
        <v>1874572.8397004532</v>
      </c>
      <c r="F21" s="18" t="s">
        <v>3</v>
      </c>
      <c r="G21" s="1"/>
    </row>
    <row r="22" spans="1:7" x14ac:dyDescent="0.25">
      <c r="A22" s="1"/>
      <c r="B22" s="42" t="s">
        <v>125</v>
      </c>
      <c r="C22" s="43"/>
      <c r="D22" s="43"/>
      <c r="E22" s="43"/>
      <c r="F22" s="44"/>
      <c r="G22" s="1"/>
    </row>
    <row r="23" spans="1:7" ht="15" customHeight="1" x14ac:dyDescent="0.25">
      <c r="A23" s="1"/>
      <c r="B23" s="32" t="s">
        <v>33</v>
      </c>
      <c r="C23" s="17">
        <f>'Fane 6. Korrektion prisloft 16'!G13</f>
        <v>-35689.032791669342</v>
      </c>
      <c r="D23" s="18" t="s">
        <v>3</v>
      </c>
      <c r="E23" s="17">
        <f>C23</f>
        <v>-35689.032791669342</v>
      </c>
      <c r="F23" s="18" t="s">
        <v>3</v>
      </c>
      <c r="G23" s="1"/>
    </row>
    <row r="24" spans="1:7" x14ac:dyDescent="0.25">
      <c r="A24" s="1"/>
      <c r="B24" s="42" t="s">
        <v>122</v>
      </c>
      <c r="C24" s="43"/>
      <c r="D24" s="43"/>
      <c r="E24" s="43"/>
      <c r="F24" s="44"/>
      <c r="G24" s="1"/>
    </row>
    <row r="25" spans="1:7" ht="15" customHeight="1" x14ac:dyDescent="0.25">
      <c r="A25" s="1"/>
      <c r="B25" s="45" t="s">
        <v>123</v>
      </c>
      <c r="C25" s="11">
        <f>'Fane 6. Korrektion prisloft 16'!G22</f>
        <v>-121283.71362760241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45" t="s">
        <v>121</v>
      </c>
      <c r="C26" s="11">
        <f>'Fane 8. Kontrol af ØR2017'!G22</f>
        <v>0</v>
      </c>
      <c r="D26" s="8" t="s">
        <v>3</v>
      </c>
      <c r="E26" s="14"/>
      <c r="F26" s="13"/>
      <c r="G26" s="1"/>
    </row>
    <row r="27" spans="1:7" ht="15" customHeight="1" x14ac:dyDescent="0.25">
      <c r="A27" s="1"/>
      <c r="B27" s="18" t="s">
        <v>124</v>
      </c>
      <c r="C27" s="61">
        <f>SUM(C25:C26)</f>
        <v>-121283.71362760241</v>
      </c>
      <c r="D27" s="40" t="s">
        <v>3</v>
      </c>
      <c r="E27" s="17">
        <f>C27</f>
        <v>-121283.71362760241</v>
      </c>
      <c r="F27" s="18" t="s">
        <v>3</v>
      </c>
      <c r="G27" s="1"/>
    </row>
    <row r="28" spans="1:7" x14ac:dyDescent="0.25">
      <c r="A28" s="1"/>
      <c r="B28" s="42" t="s">
        <v>85</v>
      </c>
      <c r="C28" s="43"/>
      <c r="D28" s="44"/>
      <c r="E28" s="20">
        <f>SUM(E13,E17,E21,E23,E27)</f>
        <v>5060164.8210597914</v>
      </c>
      <c r="F28" s="2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password="DFE9" sheet="1" objects="1" scenarios="1"/>
  <mergeCells count="2">
    <mergeCell ref="B3:F4"/>
    <mergeCell ref="B5:F5"/>
  </mergeCells>
  <pageMargins left="0.687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0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85546875" style="2" customWidth="1"/>
    <col min="8" max="8" width="2.7109375" style="2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0" t="s">
        <v>92</v>
      </c>
      <c r="C3" s="90"/>
      <c r="D3" s="90"/>
      <c r="E3" s="90"/>
      <c r="F3" s="90"/>
      <c r="G3" s="1"/>
    </row>
    <row r="4" spans="1:7" ht="15" customHeight="1" x14ac:dyDescent="0.25">
      <c r="A4" s="1"/>
      <c r="B4" s="90"/>
      <c r="C4" s="90"/>
      <c r="D4" s="90"/>
      <c r="E4" s="90"/>
      <c r="F4" s="90"/>
      <c r="G4" s="1"/>
    </row>
    <row r="5" spans="1:7" x14ac:dyDescent="0.25">
      <c r="A5" s="1"/>
      <c r="B5" s="91" t="s">
        <v>49</v>
      </c>
      <c r="C5" s="91"/>
      <c r="D5" s="91"/>
      <c r="E5" s="91"/>
      <c r="F5" s="9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24</v>
      </c>
      <c r="C8" s="43"/>
      <c r="D8" s="43"/>
      <c r="E8" s="43"/>
      <c r="F8" s="44"/>
      <c r="G8" s="1"/>
    </row>
    <row r="9" spans="1:7" ht="15" customHeight="1" x14ac:dyDescent="0.25">
      <c r="A9" s="1"/>
      <c r="B9" s="45" t="s">
        <v>80</v>
      </c>
      <c r="C9" s="7">
        <f>'Fane 2.3. Økonomisk ramme 2021'!E13</f>
        <v>3342564.7277786098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6" t="s">
        <v>42</v>
      </c>
      <c r="C10" s="11">
        <f>C9*Prisudvikling2019</f>
        <v>56489.343899458501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6" t="s">
        <v>14</v>
      </c>
      <c r="C11" s="11">
        <f>-SUM(C9:C10)*GenereltKrav</f>
        <v>-57783.919218527168</v>
      </c>
      <c r="D11" s="8" t="s">
        <v>3</v>
      </c>
      <c r="E11" s="15"/>
      <c r="F11" s="16"/>
      <c r="G11" s="1"/>
    </row>
    <row r="12" spans="1:7" x14ac:dyDescent="0.25">
      <c r="A12" s="1"/>
      <c r="B12" s="47" t="s">
        <v>46</v>
      </c>
      <c r="C12" s="17">
        <f>SUM(C9:C11)</f>
        <v>3341270.1524595413</v>
      </c>
      <c r="D12" s="18" t="s">
        <v>3</v>
      </c>
      <c r="E12" s="17">
        <f>C12</f>
        <v>3341270.1524595413</v>
      </c>
      <c r="F12" s="18" t="s">
        <v>3</v>
      </c>
      <c r="G12" s="1"/>
    </row>
    <row r="13" spans="1:7" x14ac:dyDescent="0.25">
      <c r="A13" s="1"/>
      <c r="B13" s="42" t="s">
        <v>44</v>
      </c>
      <c r="C13" s="43"/>
      <c r="D13" s="43"/>
      <c r="E13" s="43"/>
      <c r="F13" s="44"/>
      <c r="G13" s="1"/>
    </row>
    <row r="14" spans="1:7" ht="15" customHeight="1" x14ac:dyDescent="0.25">
      <c r="A14" s="1"/>
      <c r="B14" s="46" t="s">
        <v>155</v>
      </c>
      <c r="C14" s="25">
        <v>0</v>
      </c>
      <c r="D14" s="8" t="s">
        <v>3</v>
      </c>
      <c r="E14" s="12"/>
      <c r="F14" s="13"/>
      <c r="G14" s="1"/>
    </row>
    <row r="15" spans="1:7" ht="15" customHeight="1" x14ac:dyDescent="0.25">
      <c r="A15" s="1"/>
      <c r="B15" s="46" t="s">
        <v>83</v>
      </c>
      <c r="C15" s="11">
        <f>-C14*GenereltKrav</f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32" t="s">
        <v>84</v>
      </c>
      <c r="C16" s="17">
        <f>SUM(C14:C15)</f>
        <v>0</v>
      </c>
      <c r="D16" s="18" t="s">
        <v>3</v>
      </c>
      <c r="E16" s="17">
        <f>C16</f>
        <v>0</v>
      </c>
      <c r="F16" s="18" t="s">
        <v>3</v>
      </c>
      <c r="G16" s="1"/>
    </row>
    <row r="17" spans="1:7" x14ac:dyDescent="0.25">
      <c r="A17" s="1"/>
      <c r="B17" s="42" t="s">
        <v>21</v>
      </c>
      <c r="C17" s="43"/>
      <c r="D17" s="43"/>
      <c r="E17" s="43"/>
      <c r="F17" s="44"/>
      <c r="G17" s="1"/>
    </row>
    <row r="18" spans="1:7" ht="15" customHeight="1" x14ac:dyDescent="0.25">
      <c r="A18" s="1"/>
      <c r="B18" s="46" t="s">
        <v>21</v>
      </c>
      <c r="C18" s="11">
        <f>'Fane 5. Ikke-påvirkelige omk.'!E15*(1+Prisudvikling2019)^3</f>
        <v>1906253.1206913907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46" t="s">
        <v>86</v>
      </c>
      <c r="C19" s="25">
        <v>0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32" t="s">
        <v>87</v>
      </c>
      <c r="C20" s="17">
        <f>SUM(C18:C19)</f>
        <v>1906253.1206913907</v>
      </c>
      <c r="D20" s="18" t="s">
        <v>3</v>
      </c>
      <c r="E20" s="17">
        <f>C20</f>
        <v>1906253.1206913907</v>
      </c>
      <c r="F20" s="18" t="s">
        <v>3</v>
      </c>
      <c r="G20" s="1"/>
    </row>
    <row r="21" spans="1:7" x14ac:dyDescent="0.25">
      <c r="A21" s="1"/>
      <c r="B21" s="42" t="s">
        <v>125</v>
      </c>
      <c r="C21" s="43"/>
      <c r="D21" s="43"/>
      <c r="E21" s="43"/>
      <c r="F21" s="44"/>
      <c r="G21" s="1"/>
    </row>
    <row r="22" spans="1:7" ht="15" customHeight="1" x14ac:dyDescent="0.25">
      <c r="A22" s="1"/>
      <c r="B22" s="32" t="s">
        <v>33</v>
      </c>
      <c r="C22" s="17">
        <f>'Fane 2.3. Økonomisk ramme 2021'!C23*(1+Prisudvikling2019)</f>
        <v>-36292.177445848552</v>
      </c>
      <c r="D22" s="18" t="s">
        <v>3</v>
      </c>
      <c r="E22" s="17">
        <f>C22</f>
        <v>-36292.177445848552</v>
      </c>
      <c r="F22" s="18" t="s">
        <v>3</v>
      </c>
      <c r="G22" s="1"/>
    </row>
    <row r="23" spans="1:7" ht="15" customHeight="1" x14ac:dyDescent="0.25">
      <c r="A23" s="1"/>
      <c r="B23" s="42" t="s">
        <v>122</v>
      </c>
      <c r="C23" s="43"/>
      <c r="D23" s="43"/>
      <c r="E23" s="43"/>
      <c r="F23" s="44"/>
      <c r="G23" s="1"/>
    </row>
    <row r="24" spans="1:7" ht="15" customHeight="1" x14ac:dyDescent="0.25">
      <c r="A24" s="1"/>
      <c r="B24" s="45" t="s">
        <v>123</v>
      </c>
      <c r="C24" s="11">
        <f>'Fane 2.3. Økonomisk ramme 2021'!C25*(1+Prisudvikling2019)</f>
        <v>-123333.40838790889</v>
      </c>
      <c r="D24" s="8" t="s">
        <v>3</v>
      </c>
      <c r="E24" s="14"/>
      <c r="F24" s="13"/>
      <c r="G24" s="1"/>
    </row>
    <row r="25" spans="1:7" ht="15" customHeight="1" x14ac:dyDescent="0.25">
      <c r="A25" s="1"/>
      <c r="B25" s="45" t="s">
        <v>121</v>
      </c>
      <c r="C25" s="11">
        <f>'Fane 2.3. Økonomisk ramme 2021'!C26*(1+Prisudvikling2019)</f>
        <v>0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18" t="s">
        <v>158</v>
      </c>
      <c r="C26" s="61">
        <f>SUM(C24:C25)</f>
        <v>-123333.40838790889</v>
      </c>
      <c r="D26" s="40" t="s">
        <v>3</v>
      </c>
      <c r="E26" s="17">
        <f>C26</f>
        <v>-123333.40838790889</v>
      </c>
      <c r="F26" s="18" t="s">
        <v>3</v>
      </c>
      <c r="G26" s="1"/>
    </row>
    <row r="27" spans="1:7" x14ac:dyDescent="0.25">
      <c r="A27" s="1"/>
      <c r="B27" s="42" t="s">
        <v>79</v>
      </c>
      <c r="C27" s="43"/>
      <c r="D27" s="44"/>
      <c r="E27" s="20">
        <f>SUM(E12,E16,E20,E22,E26)</f>
        <v>5087897.6873171749</v>
      </c>
      <c r="F27" s="2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28515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3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2" t="s">
        <v>93</v>
      </c>
      <c r="C3" s="92"/>
      <c r="D3" s="92"/>
      <c r="E3" s="92"/>
      <c r="F3" s="92"/>
      <c r="G3" s="92"/>
      <c r="H3" s="92"/>
      <c r="I3" s="1"/>
    </row>
    <row r="4" spans="1:9" ht="29.2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60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34</v>
      </c>
      <c r="C9" s="50"/>
      <c r="D9" s="50"/>
      <c r="E9" s="50"/>
      <c r="F9" s="51"/>
      <c r="G9" s="25">
        <v>4743086.0625978904</v>
      </c>
      <c r="H9" s="22" t="s">
        <v>3</v>
      </c>
      <c r="I9" s="1"/>
    </row>
    <row r="10" spans="1:9" x14ac:dyDescent="0.25">
      <c r="A10" s="1"/>
      <c r="B10" s="48" t="s">
        <v>61</v>
      </c>
      <c r="C10" s="50"/>
      <c r="D10" s="50"/>
      <c r="E10" s="50"/>
      <c r="F10" s="51"/>
      <c r="G10" s="25">
        <v>0</v>
      </c>
      <c r="H10" s="22" t="s">
        <v>3</v>
      </c>
      <c r="I10" s="1"/>
    </row>
    <row r="11" spans="1:9" x14ac:dyDescent="0.25">
      <c r="A11" s="1"/>
      <c r="B11" s="48" t="s">
        <v>58</v>
      </c>
      <c r="C11" s="50"/>
      <c r="D11" s="50"/>
      <c r="E11" s="50"/>
      <c r="F11" s="51"/>
      <c r="G11" s="25">
        <v>1415758.2516999999</v>
      </c>
      <c r="H11" s="22" t="s">
        <v>3</v>
      </c>
      <c r="I11" s="1"/>
    </row>
    <row r="12" spans="1:9" x14ac:dyDescent="0.25">
      <c r="A12" s="1"/>
      <c r="B12" s="48" t="s">
        <v>59</v>
      </c>
      <c r="C12" s="50"/>
      <c r="D12" s="50"/>
      <c r="E12" s="50"/>
      <c r="F12" s="51"/>
      <c r="G12" s="25">
        <v>0</v>
      </c>
      <c r="H12" s="22" t="s">
        <v>3</v>
      </c>
      <c r="I12" s="1"/>
    </row>
    <row r="13" spans="1:9" ht="26.25" customHeight="1" x14ac:dyDescent="0.25">
      <c r="A13" s="1"/>
      <c r="B13" s="52" t="s">
        <v>81</v>
      </c>
      <c r="C13" s="53"/>
      <c r="D13" s="53"/>
      <c r="E13" s="53"/>
      <c r="F13" s="54"/>
      <c r="G13" s="38">
        <f>G9-G11-G12</f>
        <v>3327327.8108978905</v>
      </c>
      <c r="H13" s="39" t="s">
        <v>3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6.85546875" style="2" customWidth="1"/>
    <col min="2" max="2" width="58.140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2.28515625" style="2" customWidth="1"/>
    <col min="8" max="8" width="3.28515625" style="2" customWidth="1"/>
    <col min="9" max="9" width="6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2" t="s">
        <v>139</v>
      </c>
      <c r="C3" s="92"/>
      <c r="D3" s="92"/>
      <c r="E3" s="92"/>
      <c r="F3" s="92"/>
      <c r="G3" s="92"/>
      <c r="H3" s="92"/>
      <c r="I3" s="1"/>
    </row>
    <row r="4" spans="1:9" ht="29.2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71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72</v>
      </c>
      <c r="C9" s="50"/>
      <c r="D9" s="50"/>
      <c r="E9" s="50"/>
      <c r="F9" s="51"/>
      <c r="G9" s="25">
        <v>1415389.8856903433</v>
      </c>
      <c r="H9" s="22" t="s">
        <v>3</v>
      </c>
      <c r="I9" s="1"/>
    </row>
    <row r="10" spans="1:9" x14ac:dyDescent="0.25">
      <c r="A10" s="1"/>
      <c r="B10" s="49" t="s">
        <v>73</v>
      </c>
      <c r="C10" s="50"/>
      <c r="D10" s="50"/>
      <c r="E10" s="50"/>
      <c r="F10" s="51"/>
      <c r="G10" s="25">
        <v>1984847.0249922604</v>
      </c>
      <c r="H10" s="22" t="s">
        <v>3</v>
      </c>
      <c r="I10" s="1"/>
    </row>
    <row r="11" spans="1:9" ht="26.25" customHeight="1" x14ac:dyDescent="0.25">
      <c r="A11" s="1"/>
      <c r="B11" s="52" t="s">
        <v>74</v>
      </c>
      <c r="C11" s="53"/>
      <c r="D11" s="53"/>
      <c r="E11" s="53"/>
      <c r="F11" s="54"/>
      <c r="G11" s="38">
        <f>SUM(G9:G10)</f>
        <v>3400236.9106826037</v>
      </c>
      <c r="H11" s="39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42" t="s">
        <v>75</v>
      </c>
      <c r="C14" s="43"/>
      <c r="D14" s="43"/>
      <c r="E14" s="43"/>
      <c r="F14" s="43"/>
      <c r="G14" s="43"/>
      <c r="H14" s="44"/>
      <c r="I14" s="1"/>
    </row>
    <row r="15" spans="1:9" x14ac:dyDescent="0.25">
      <c r="A15" s="1"/>
      <c r="B15" s="49" t="s">
        <v>36</v>
      </c>
      <c r="C15" s="50"/>
      <c r="D15" s="50"/>
      <c r="E15" s="50"/>
      <c r="F15" s="51"/>
      <c r="G15" s="25">
        <v>1393898.4315082233</v>
      </c>
      <c r="H15" s="22" t="s">
        <v>3</v>
      </c>
      <c r="I15" s="1"/>
    </row>
    <row r="16" spans="1:9" x14ac:dyDescent="0.25">
      <c r="A16" s="1"/>
      <c r="B16" s="49" t="s">
        <v>37</v>
      </c>
      <c r="C16" s="50"/>
      <c r="D16" s="50"/>
      <c r="E16" s="50"/>
      <c r="F16" s="51"/>
      <c r="G16" s="25">
        <v>2050573.5436942605</v>
      </c>
      <c r="H16" s="22" t="s">
        <v>3</v>
      </c>
      <c r="I16" s="1"/>
    </row>
    <row r="17" spans="1:9" ht="26.25" customHeight="1" x14ac:dyDescent="0.25">
      <c r="A17" s="1"/>
      <c r="B17" s="52" t="s">
        <v>76</v>
      </c>
      <c r="C17" s="53"/>
      <c r="D17" s="53"/>
      <c r="E17" s="53"/>
      <c r="F17" s="54"/>
      <c r="G17" s="38">
        <f>SUM(G15:G16)</f>
        <v>3444471.9752024841</v>
      </c>
      <c r="H17" s="39" t="s">
        <v>3</v>
      </c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23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23"/>
      <c r="I19" s="1"/>
    </row>
    <row r="20" spans="1:9" x14ac:dyDescent="0.25">
      <c r="A20" s="1"/>
      <c r="B20" s="42" t="s">
        <v>27</v>
      </c>
      <c r="C20" s="43"/>
      <c r="D20" s="43"/>
      <c r="E20" s="43"/>
      <c r="F20" s="43"/>
      <c r="G20" s="43"/>
      <c r="H20" s="44"/>
      <c r="I20" s="1"/>
    </row>
    <row r="21" spans="1:9" x14ac:dyDescent="0.25">
      <c r="A21" s="1"/>
      <c r="B21" s="49" t="s">
        <v>77</v>
      </c>
      <c r="C21" s="50"/>
      <c r="D21" s="50"/>
      <c r="E21" s="50"/>
      <c r="F21" s="51"/>
      <c r="G21" s="11">
        <f>G15-G9</f>
        <v>-21491.45418212004</v>
      </c>
      <c r="H21" s="22" t="s">
        <v>3</v>
      </c>
      <c r="I21" s="1"/>
    </row>
    <row r="22" spans="1:9" x14ac:dyDescent="0.25">
      <c r="A22" s="1"/>
      <c r="B22" s="49" t="s">
        <v>78</v>
      </c>
      <c r="C22" s="50"/>
      <c r="D22" s="50"/>
      <c r="E22" s="50"/>
      <c r="F22" s="51"/>
      <c r="G22" s="11">
        <f>G16-G10</f>
        <v>65726.518702000147</v>
      </c>
      <c r="H22" s="22" t="s">
        <v>3</v>
      </c>
      <c r="I22" s="1"/>
    </row>
    <row r="23" spans="1:9" ht="15" customHeight="1" x14ac:dyDescent="0.25">
      <c r="A23" s="1"/>
      <c r="B23" s="52" t="s">
        <v>140</v>
      </c>
      <c r="C23" s="53"/>
      <c r="D23" s="53"/>
      <c r="E23" s="53"/>
      <c r="F23" s="54"/>
      <c r="G23" s="20">
        <f>SUM(G21:G22)</f>
        <v>44235.064519880107</v>
      </c>
      <c r="H23" s="21" t="s">
        <v>3</v>
      </c>
      <c r="I23" s="1"/>
    </row>
    <row r="24" spans="1:9" ht="15" customHeight="1" x14ac:dyDescent="0.25">
      <c r="A24" s="1"/>
      <c r="B24" s="52" t="s">
        <v>141</v>
      </c>
      <c r="C24" s="53"/>
      <c r="D24" s="53"/>
      <c r="E24" s="53"/>
      <c r="F24" s="54"/>
      <c r="G24" s="20">
        <f>G23*(1+Prisudvikling2019)^3</f>
        <v>46515.897735578117</v>
      </c>
      <c r="H24" s="21" t="s">
        <v>3</v>
      </c>
      <c r="I24" s="1"/>
    </row>
    <row r="25" spans="1:9" x14ac:dyDescent="0.25">
      <c r="A25" s="1"/>
      <c r="B25" s="23"/>
      <c r="C25" s="23"/>
      <c r="D25" s="23"/>
      <c r="E25" s="23"/>
      <c r="F25" s="23"/>
      <c r="G25" s="23"/>
      <c r="H25" s="23"/>
      <c r="I25" s="1"/>
    </row>
    <row r="26" spans="1:9" ht="26.25" customHeight="1" x14ac:dyDescent="0.25">
      <c r="A26" s="1"/>
      <c r="B26" s="60" t="s">
        <v>112</v>
      </c>
      <c r="C26" s="60"/>
      <c r="D26" s="60"/>
      <c r="E26" s="60"/>
      <c r="F26" s="60"/>
      <c r="G26" s="60"/>
      <c r="H26" s="60"/>
      <c r="I26" s="1"/>
    </row>
    <row r="27" spans="1:9" ht="26.25" x14ac:dyDescent="0.25">
      <c r="A27" s="1"/>
      <c r="B27" s="60" t="s">
        <v>156</v>
      </c>
      <c r="C27" s="23"/>
      <c r="D27" s="23"/>
      <c r="E27" s="23"/>
      <c r="F27" s="23"/>
      <c r="G27" s="23"/>
      <c r="H27" s="23"/>
      <c r="I27" s="1"/>
    </row>
    <row r="28" spans="1:9" x14ac:dyDescent="0.25">
      <c r="A28" s="1"/>
      <c r="B28" s="24"/>
      <c r="C28" s="1"/>
      <c r="D28" s="1"/>
      <c r="E28" s="1"/>
      <c r="F28" s="1"/>
      <c r="G28" s="23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0" style="2" hidden="1" customWidth="1"/>
    <col min="4" max="4" width="28.5703125" style="2" hidden="1" customWidth="1"/>
    <col min="5" max="5" width="25" style="2" customWidth="1"/>
    <col min="6" max="6" width="3.28515625" style="2" customWidth="1"/>
    <col min="7" max="7" width="6.28515625" style="2" customWidth="1"/>
    <col min="8" max="8" width="5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0" t="s">
        <v>134</v>
      </c>
      <c r="C3" s="90"/>
      <c r="D3" s="90"/>
      <c r="E3" s="90"/>
      <c r="F3" s="90"/>
      <c r="G3" s="1"/>
      <c r="H3" s="1"/>
    </row>
    <row r="4" spans="1:8" ht="15" customHeight="1" x14ac:dyDescent="0.25">
      <c r="A4" s="1"/>
      <c r="B4" s="90"/>
      <c r="C4" s="90"/>
      <c r="D4" s="90"/>
      <c r="E4" s="90"/>
      <c r="F4" s="90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82</v>
      </c>
      <c r="C8" s="43"/>
      <c r="D8" s="43"/>
      <c r="E8" s="43"/>
      <c r="F8" s="44"/>
      <c r="G8" s="1"/>
      <c r="H8" s="1"/>
    </row>
    <row r="9" spans="1:8" ht="15" customHeight="1" x14ac:dyDescent="0.25">
      <c r="A9" s="1"/>
      <c r="B9" s="32" t="s">
        <v>109</v>
      </c>
      <c r="C9" s="33"/>
      <c r="D9" s="40"/>
      <c r="E9" s="18" t="s">
        <v>57</v>
      </c>
      <c r="F9" s="18"/>
      <c r="G9" s="1"/>
      <c r="H9" s="1"/>
    </row>
    <row r="10" spans="1:8" x14ac:dyDescent="0.25">
      <c r="A10" s="1"/>
      <c r="B10" s="68" t="s">
        <v>151</v>
      </c>
      <c r="C10" s="55"/>
      <c r="D10" s="56"/>
      <c r="E10" s="25">
        <v>1380556.25</v>
      </c>
      <c r="F10" s="22" t="s">
        <v>3</v>
      </c>
      <c r="G10" s="1"/>
      <c r="H10" s="1"/>
    </row>
    <row r="11" spans="1:8" x14ac:dyDescent="0.25">
      <c r="A11" s="1"/>
      <c r="B11" s="68" t="s">
        <v>152</v>
      </c>
      <c r="C11" s="55"/>
      <c r="D11" s="56"/>
      <c r="E11" s="25">
        <v>2986</v>
      </c>
      <c r="F11" s="22" t="s">
        <v>3</v>
      </c>
      <c r="G11" s="1"/>
      <c r="H11" s="1"/>
    </row>
    <row r="12" spans="1:8" x14ac:dyDescent="0.25">
      <c r="A12" s="1"/>
      <c r="B12" s="68" t="s">
        <v>153</v>
      </c>
      <c r="C12" s="55"/>
      <c r="D12" s="56"/>
      <c r="E12" s="25">
        <v>27519.68</v>
      </c>
      <c r="F12" s="22" t="s">
        <v>3</v>
      </c>
      <c r="G12" s="1"/>
      <c r="H12" s="1"/>
    </row>
    <row r="13" spans="1:8" x14ac:dyDescent="0.25">
      <c r="A13" s="1"/>
      <c r="B13" s="68" t="s">
        <v>154</v>
      </c>
      <c r="C13" s="55"/>
      <c r="D13" s="56"/>
      <c r="E13" s="25">
        <v>341968</v>
      </c>
      <c r="F13" s="22" t="s">
        <v>3</v>
      </c>
      <c r="G13" s="1"/>
      <c r="H13" s="1"/>
    </row>
    <row r="14" spans="1:8" x14ac:dyDescent="0.25">
      <c r="A14" s="1"/>
      <c r="B14" s="42" t="s">
        <v>137</v>
      </c>
      <c r="C14" s="43"/>
      <c r="D14" s="44"/>
      <c r="E14" s="20">
        <f>SUM(E10:E13)</f>
        <v>1753029.93</v>
      </c>
      <c r="F14" s="21" t="s">
        <v>3</v>
      </c>
      <c r="G14" s="1"/>
      <c r="H14" s="1"/>
    </row>
    <row r="15" spans="1:8" x14ac:dyDescent="0.25">
      <c r="A15" s="1"/>
      <c r="B15" s="42" t="s">
        <v>138</v>
      </c>
      <c r="C15" s="43"/>
      <c r="D15" s="44"/>
      <c r="E15" s="20">
        <f>E14*(1+Prisudvikling2019)^2</f>
        <v>1812783.0245123068</v>
      </c>
      <c r="F15" s="21" t="s">
        <v>3</v>
      </c>
      <c r="G15" s="1"/>
      <c r="H15" s="1"/>
    </row>
    <row r="16" spans="1:8" x14ac:dyDescent="0.25">
      <c r="A16" s="1"/>
      <c r="B16" s="24"/>
      <c r="C16" s="23"/>
      <c r="D16" s="23"/>
      <c r="E16" s="23"/>
      <c r="F16" s="23"/>
      <c r="G16" s="1"/>
      <c r="H16" s="1"/>
    </row>
    <row r="17" spans="1:8" x14ac:dyDescent="0.25">
      <c r="A17" s="1"/>
      <c r="B17" s="23"/>
      <c r="C17" s="23"/>
      <c r="D17" s="23"/>
      <c r="E17" s="23"/>
      <c r="F17" s="23"/>
      <c r="G17" s="1"/>
      <c r="H17" s="1"/>
    </row>
    <row r="18" spans="1:8" x14ac:dyDescent="0.25">
      <c r="A18" s="1"/>
      <c r="B18" s="1"/>
      <c r="C18" s="1"/>
      <c r="D18" s="1"/>
      <c r="E18" s="23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</sheetData>
  <sheetProtection password="DFE9" sheet="1" objects="1" scenarios="1"/>
  <mergeCells count="1">
    <mergeCell ref="B3:F4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5"/>
  <sheetViews>
    <sheetView showGridLines="0" view="pageLayout" zoomScaleNormal="100" workbookViewId="0"/>
  </sheetViews>
  <sheetFormatPr defaultColWidth="9.140625" defaultRowHeight="15" x14ac:dyDescent="0.25"/>
  <cols>
    <col min="1" max="1" width="1.85546875" style="2" customWidth="1"/>
    <col min="2" max="3" width="9.140625" style="2"/>
    <col min="4" max="4" width="35.8554687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1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2" t="s">
        <v>129</v>
      </c>
      <c r="C3" s="92"/>
      <c r="D3" s="92"/>
      <c r="E3" s="92"/>
      <c r="F3" s="92"/>
      <c r="G3" s="92"/>
      <c r="H3" s="92"/>
      <c r="I3" s="1"/>
    </row>
    <row r="4" spans="1:9" ht="1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125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6" t="s">
        <v>33</v>
      </c>
      <c r="C9" s="97"/>
      <c r="D9" s="98"/>
      <c r="E9" s="25">
        <v>-131204.08666666684</v>
      </c>
      <c r="F9" s="22" t="s">
        <v>3</v>
      </c>
      <c r="G9" s="19"/>
      <c r="H9" s="30"/>
      <c r="I9" s="1"/>
    </row>
    <row r="10" spans="1:9" x14ac:dyDescent="0.25">
      <c r="A10" s="1"/>
      <c r="B10" s="99" t="s">
        <v>116</v>
      </c>
      <c r="C10" s="100"/>
      <c r="D10" s="101"/>
      <c r="E10" s="11">
        <v>4</v>
      </c>
      <c r="F10" s="22" t="s">
        <v>43</v>
      </c>
      <c r="G10" s="14"/>
      <c r="H10" s="31"/>
      <c r="I10" s="1"/>
    </row>
    <row r="11" spans="1:9" x14ac:dyDescent="0.25">
      <c r="A11" s="1"/>
      <c r="B11" s="99" t="s">
        <v>126</v>
      </c>
      <c r="C11" s="100"/>
      <c r="D11" s="101"/>
      <c r="E11" s="11">
        <f>E9/E10</f>
        <v>-32801.021666666711</v>
      </c>
      <c r="F11" s="22" t="s">
        <v>3</v>
      </c>
      <c r="G11" s="14"/>
      <c r="H11" s="31"/>
      <c r="I11" s="1"/>
    </row>
    <row r="12" spans="1:9" x14ac:dyDescent="0.25">
      <c r="A12" s="1"/>
      <c r="B12" s="93" t="s">
        <v>132</v>
      </c>
      <c r="C12" s="94"/>
      <c r="D12" s="94"/>
      <c r="E12" s="94"/>
      <c r="F12" s="95"/>
      <c r="G12" s="20">
        <f>E11</f>
        <v>-32801.021666666711</v>
      </c>
      <c r="H12" s="21" t="s">
        <v>3</v>
      </c>
      <c r="I12" s="1"/>
    </row>
    <row r="13" spans="1:9" x14ac:dyDescent="0.25">
      <c r="A13" s="1"/>
      <c r="B13" s="93" t="s">
        <v>128</v>
      </c>
      <c r="C13" s="94"/>
      <c r="D13" s="94"/>
      <c r="E13" s="94"/>
      <c r="F13" s="95"/>
      <c r="G13" s="20">
        <f>G12*(1+Prisudvikling2018)*(1+Prisudvikling2019)^4</f>
        <v>-35689.032791669342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3" t="s">
        <v>123</v>
      </c>
      <c r="C17" s="94"/>
      <c r="D17" s="94"/>
      <c r="E17" s="94"/>
      <c r="F17" s="94"/>
      <c r="G17" s="94"/>
      <c r="H17" s="95"/>
      <c r="I17" s="1"/>
    </row>
    <row r="18" spans="1:9" x14ac:dyDescent="0.25">
      <c r="A18" s="1"/>
      <c r="B18" s="96" t="s">
        <v>123</v>
      </c>
      <c r="C18" s="97"/>
      <c r="D18" s="98"/>
      <c r="E18" s="25">
        <v>-445877</v>
      </c>
      <c r="F18" s="22" t="s">
        <v>3</v>
      </c>
      <c r="G18" s="14"/>
      <c r="H18" s="31"/>
      <c r="I18" s="1"/>
    </row>
    <row r="19" spans="1:9" x14ac:dyDescent="0.25">
      <c r="A19" s="1"/>
      <c r="B19" s="99" t="s">
        <v>116</v>
      </c>
      <c r="C19" s="100"/>
      <c r="D19" s="101"/>
      <c r="E19" s="11">
        <v>4</v>
      </c>
      <c r="F19" s="22" t="s">
        <v>43</v>
      </c>
      <c r="G19" s="14"/>
      <c r="H19" s="31"/>
      <c r="I19" s="1"/>
    </row>
    <row r="20" spans="1:9" x14ac:dyDescent="0.25">
      <c r="A20" s="1"/>
      <c r="B20" s="99" t="s">
        <v>127</v>
      </c>
      <c r="C20" s="100"/>
      <c r="D20" s="101"/>
      <c r="E20" s="11">
        <f>E18/E19</f>
        <v>-111469.25</v>
      </c>
      <c r="F20" s="22" t="s">
        <v>3</v>
      </c>
      <c r="G20" s="14"/>
      <c r="H20" s="31"/>
      <c r="I20" s="1"/>
    </row>
    <row r="21" spans="1:9" x14ac:dyDescent="0.25">
      <c r="A21" s="1"/>
      <c r="B21" s="93" t="s">
        <v>132</v>
      </c>
      <c r="C21" s="94"/>
      <c r="D21" s="94"/>
      <c r="E21" s="94"/>
      <c r="F21" s="95"/>
      <c r="G21" s="20">
        <f>E20</f>
        <v>-111469.25</v>
      </c>
      <c r="H21" s="21" t="s">
        <v>3</v>
      </c>
      <c r="I21" s="1"/>
    </row>
    <row r="22" spans="1:9" x14ac:dyDescent="0.25">
      <c r="A22" s="1"/>
      <c r="B22" s="93" t="s">
        <v>128</v>
      </c>
      <c r="C22" s="94"/>
      <c r="D22" s="94"/>
      <c r="E22" s="94"/>
      <c r="F22" s="95"/>
      <c r="G22" s="20">
        <f>G21*(1+Prisudvikling2018)*(1+Prisudvikling2019)^4</f>
        <v>-121283.71362760241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heetProtection password="DFE9" sheet="1" objects="1" scenarios="1"/>
  <mergeCells count="13">
    <mergeCell ref="B10:D10"/>
    <mergeCell ref="B11:D11"/>
    <mergeCell ref="B12:F12"/>
    <mergeCell ref="B13:F13"/>
    <mergeCell ref="B3:H4"/>
    <mergeCell ref="B8:H8"/>
    <mergeCell ref="B9:D9"/>
    <mergeCell ref="B21:F21"/>
    <mergeCell ref="B22:F22"/>
    <mergeCell ref="B17:H17"/>
    <mergeCell ref="B18:D18"/>
    <mergeCell ref="B19:D19"/>
    <mergeCell ref="B20:D20"/>
  </mergeCells>
  <pageMargins left="0.6875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0" t="s">
        <v>135</v>
      </c>
      <c r="C3" s="90"/>
      <c r="D3" s="90"/>
      <c r="E3" s="90"/>
      <c r="F3" s="90"/>
      <c r="G3" s="90"/>
      <c r="H3" s="90"/>
      <c r="I3" s="1"/>
    </row>
    <row r="4" spans="1:9" ht="15" customHeight="1" x14ac:dyDescent="0.25">
      <c r="A4" s="1"/>
      <c r="B4" s="90"/>
      <c r="C4" s="90"/>
      <c r="D4" s="90"/>
      <c r="E4" s="90"/>
      <c r="F4" s="90"/>
      <c r="G4" s="90"/>
      <c r="H4" s="90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2" t="s">
        <v>22</v>
      </c>
      <c r="C8" s="43"/>
      <c r="D8" s="43"/>
      <c r="E8" s="43"/>
      <c r="F8" s="43"/>
      <c r="G8" s="43"/>
      <c r="H8" s="44"/>
      <c r="I8" s="1"/>
    </row>
    <row r="9" spans="1:9" x14ac:dyDescent="0.25">
      <c r="A9" s="1"/>
      <c r="B9" s="49" t="s">
        <v>17</v>
      </c>
      <c r="C9" s="50"/>
      <c r="D9" s="50"/>
      <c r="E9" s="50"/>
      <c r="F9" s="51"/>
      <c r="G9" s="25">
        <v>847286</v>
      </c>
      <c r="H9" s="22" t="s">
        <v>3</v>
      </c>
      <c r="I9" s="1"/>
    </row>
    <row r="10" spans="1:9" x14ac:dyDescent="0.25">
      <c r="A10" s="1"/>
      <c r="B10" s="49" t="s">
        <v>56</v>
      </c>
      <c r="C10" s="50"/>
      <c r="D10" s="50"/>
      <c r="E10" s="50"/>
      <c r="F10" s="51"/>
      <c r="G10" s="25">
        <v>847286</v>
      </c>
      <c r="H10" s="22" t="s">
        <v>3</v>
      </c>
      <c r="I10" s="1"/>
    </row>
    <row r="11" spans="1:9" x14ac:dyDescent="0.25">
      <c r="A11" s="1"/>
      <c r="B11" s="57" t="s">
        <v>19</v>
      </c>
      <c r="C11" s="58"/>
      <c r="D11" s="58"/>
      <c r="E11" s="58"/>
      <c r="F11" s="59"/>
      <c r="G11" s="35">
        <f>G9-G10</f>
        <v>0</v>
      </c>
      <c r="H11" s="29" t="s">
        <v>3</v>
      </c>
      <c r="I11" s="1"/>
    </row>
    <row r="12" spans="1:9" x14ac:dyDescent="0.25">
      <c r="A12" s="1"/>
      <c r="B12" s="49" t="s">
        <v>18</v>
      </c>
      <c r="C12" s="50"/>
      <c r="D12" s="50"/>
      <c r="E12" s="50"/>
      <c r="F12" s="51"/>
      <c r="G12" s="25">
        <v>0</v>
      </c>
      <c r="H12" s="22" t="s">
        <v>43</v>
      </c>
      <c r="I12" s="1"/>
    </row>
    <row r="13" spans="1:9" x14ac:dyDescent="0.25">
      <c r="A13" s="1"/>
      <c r="B13" s="42" t="s">
        <v>16</v>
      </c>
      <c r="C13" s="43"/>
      <c r="D13" s="43"/>
      <c r="E13" s="43"/>
      <c r="F13" s="44"/>
      <c r="G13" s="20">
        <f>IF(G12 = 0,0,G11/G12)</f>
        <v>0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2.85546875" style="2" customWidth="1"/>
    <col min="2" max="3" width="9.140625" style="2"/>
    <col min="4" max="4" width="31.570312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2" t="s">
        <v>136</v>
      </c>
      <c r="C3" s="92"/>
      <c r="D3" s="92"/>
      <c r="E3" s="92"/>
      <c r="F3" s="92"/>
      <c r="G3" s="92"/>
      <c r="H3" s="92"/>
      <c r="I3" s="1"/>
    </row>
    <row r="4" spans="1:9" ht="15" customHeight="1" x14ac:dyDescent="0.25">
      <c r="A4" s="1"/>
      <c r="B4" s="92"/>
      <c r="C4" s="92"/>
      <c r="D4" s="92"/>
      <c r="E4" s="92"/>
      <c r="F4" s="92"/>
      <c r="G4" s="92"/>
      <c r="H4" s="9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113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6" t="s">
        <v>106</v>
      </c>
      <c r="C9" s="97"/>
      <c r="D9" s="98"/>
      <c r="E9" s="25">
        <v>5718886.9879999999</v>
      </c>
      <c r="F9" s="22" t="s">
        <v>3</v>
      </c>
      <c r="G9" s="19"/>
      <c r="H9" s="30"/>
      <c r="I9" s="1"/>
    </row>
    <row r="10" spans="1:9" x14ac:dyDescent="0.25">
      <c r="A10" s="1"/>
      <c r="B10" s="96" t="s">
        <v>107</v>
      </c>
      <c r="C10" s="97"/>
      <c r="D10" s="98"/>
      <c r="E10" s="25">
        <v>4954184</v>
      </c>
      <c r="F10" s="22" t="s">
        <v>3</v>
      </c>
      <c r="G10" s="14"/>
      <c r="H10" s="31"/>
      <c r="I10" s="1"/>
    </row>
    <row r="11" spans="1:9" x14ac:dyDescent="0.25">
      <c r="A11" s="1"/>
      <c r="B11" s="96" t="s">
        <v>114</v>
      </c>
      <c r="C11" s="97"/>
      <c r="D11" s="98"/>
      <c r="E11" s="25">
        <v>0</v>
      </c>
      <c r="F11" s="22" t="s">
        <v>3</v>
      </c>
      <c r="G11" s="14"/>
      <c r="H11" s="31"/>
      <c r="I11" s="1"/>
    </row>
    <row r="12" spans="1:9" x14ac:dyDescent="0.25">
      <c r="A12" s="1"/>
      <c r="B12" s="102" t="s">
        <v>108</v>
      </c>
      <c r="C12" s="103"/>
      <c r="D12" s="104"/>
      <c r="E12" s="17">
        <f>E9-(E10-E11)</f>
        <v>764702.9879999999</v>
      </c>
      <c r="F12" s="28" t="s">
        <v>3</v>
      </c>
      <c r="G12" s="17">
        <f>E12</f>
        <v>764702.9879999999</v>
      </c>
      <c r="H12" s="28" t="s">
        <v>3</v>
      </c>
      <c r="I12" s="1"/>
    </row>
    <row r="13" spans="1:9" x14ac:dyDescent="0.25">
      <c r="A13" s="1"/>
      <c r="B13" s="42"/>
      <c r="C13" s="43"/>
      <c r="D13" s="43"/>
      <c r="E13" s="43"/>
      <c r="F13" s="43"/>
      <c r="G13" s="43"/>
      <c r="H13" s="44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3" t="s">
        <v>118</v>
      </c>
      <c r="C17" s="94"/>
      <c r="D17" s="94"/>
      <c r="E17" s="94"/>
      <c r="F17" s="94"/>
      <c r="G17" s="94"/>
      <c r="H17" s="95"/>
      <c r="I17" s="1"/>
    </row>
    <row r="18" spans="1:9" x14ac:dyDescent="0.25">
      <c r="A18" s="1"/>
      <c r="B18" s="99" t="s">
        <v>115</v>
      </c>
      <c r="C18" s="100"/>
      <c r="D18" s="101"/>
      <c r="E18" s="11">
        <f>IF(E12&lt;0,E12,0)</f>
        <v>0</v>
      </c>
      <c r="F18" s="22" t="s">
        <v>3</v>
      </c>
      <c r="G18" s="14"/>
      <c r="H18" s="31"/>
      <c r="I18" s="1"/>
    </row>
    <row r="19" spans="1:9" x14ac:dyDescent="0.25">
      <c r="A19" s="1"/>
      <c r="B19" s="99" t="s">
        <v>116</v>
      </c>
      <c r="C19" s="100"/>
      <c r="D19" s="101"/>
      <c r="E19" s="11">
        <v>4</v>
      </c>
      <c r="F19" s="22" t="s">
        <v>43</v>
      </c>
      <c r="G19" s="14"/>
      <c r="H19" s="31"/>
      <c r="I19" s="1"/>
    </row>
    <row r="20" spans="1:9" x14ac:dyDescent="0.25">
      <c r="A20" s="1"/>
      <c r="B20" s="99" t="s">
        <v>117</v>
      </c>
      <c r="C20" s="100"/>
      <c r="D20" s="101"/>
      <c r="E20" s="11">
        <f>E18/E19</f>
        <v>0</v>
      </c>
      <c r="F20" s="22" t="s">
        <v>3</v>
      </c>
      <c r="G20" s="14"/>
      <c r="H20" s="31"/>
      <c r="I20" s="1"/>
    </row>
    <row r="21" spans="1:9" x14ac:dyDescent="0.25">
      <c r="A21" s="1"/>
      <c r="B21" s="93" t="s">
        <v>119</v>
      </c>
      <c r="C21" s="94"/>
      <c r="D21" s="94"/>
      <c r="E21" s="94"/>
      <c r="F21" s="95"/>
      <c r="G21" s="20">
        <f>E20</f>
        <v>0</v>
      </c>
      <c r="H21" s="21" t="s">
        <v>3</v>
      </c>
      <c r="I21" s="1"/>
    </row>
    <row r="22" spans="1:9" x14ac:dyDescent="0.25">
      <c r="A22" s="1"/>
      <c r="B22" s="93" t="s">
        <v>120</v>
      </c>
      <c r="C22" s="94"/>
      <c r="D22" s="94"/>
      <c r="E22" s="94"/>
      <c r="F22" s="95"/>
      <c r="G22" s="20">
        <f>G21*(1+Prisudvikling2019)^4</f>
        <v>0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2">
    <mergeCell ref="B12:D12"/>
    <mergeCell ref="B3:H4"/>
    <mergeCell ref="B8:H8"/>
    <mergeCell ref="B9:D9"/>
    <mergeCell ref="B10:D10"/>
    <mergeCell ref="B11:D11"/>
    <mergeCell ref="B22:F22"/>
    <mergeCell ref="B17:H17"/>
    <mergeCell ref="B18:D18"/>
    <mergeCell ref="B19:D19"/>
    <mergeCell ref="B20:D20"/>
    <mergeCell ref="B21:F21"/>
  </mergeCells>
  <pageMargins left="0.6875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19.42578125" style="2" customWidth="1"/>
    <col min="3" max="3" width="10" style="2" customWidth="1"/>
    <col min="4" max="4" width="14.7109375" style="2" customWidth="1"/>
    <col min="5" max="5" width="9.85546875" style="2" customWidth="1"/>
    <col min="6" max="6" width="10.7109375" style="2" customWidth="1"/>
    <col min="7" max="7" width="11.28515625" style="2" customWidth="1"/>
    <col min="8" max="8" width="3.28515625" style="2" customWidth="1"/>
    <col min="9" max="9" width="4.85546875" style="2" customWidth="1"/>
    <col min="10" max="10" width="3.28515625" style="2" customWidth="1"/>
    <col min="11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0" t="s">
        <v>142</v>
      </c>
      <c r="C3" s="90"/>
      <c r="D3" s="90"/>
      <c r="E3" s="90"/>
      <c r="F3" s="90"/>
      <c r="G3" s="90"/>
      <c r="H3" s="90"/>
      <c r="I3" s="1"/>
    </row>
    <row r="4" spans="1:9" ht="15" customHeight="1" x14ac:dyDescent="0.25">
      <c r="A4" s="1"/>
      <c r="B4" s="90"/>
      <c r="C4" s="90"/>
      <c r="D4" s="90"/>
      <c r="E4" s="90"/>
      <c r="F4" s="90"/>
      <c r="G4" s="90"/>
      <c r="H4" s="90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143</v>
      </c>
      <c r="C8" s="94"/>
      <c r="D8" s="94"/>
      <c r="E8" s="94"/>
      <c r="F8" s="94"/>
      <c r="G8" s="94"/>
      <c r="H8" s="95"/>
      <c r="I8" s="1"/>
    </row>
    <row r="9" spans="1:9" ht="39" customHeight="1" x14ac:dyDescent="0.25">
      <c r="A9" s="1"/>
      <c r="B9" s="41" t="s">
        <v>0</v>
      </c>
      <c r="C9" s="41" t="s">
        <v>1</v>
      </c>
      <c r="D9" s="41" t="s">
        <v>110</v>
      </c>
      <c r="E9" s="18" t="s">
        <v>2</v>
      </c>
      <c r="F9" s="18" t="s">
        <v>89</v>
      </c>
      <c r="G9" s="18" t="s">
        <v>90</v>
      </c>
      <c r="H9" s="40"/>
      <c r="I9" s="1"/>
    </row>
    <row r="10" spans="1:9" ht="15" customHeight="1" x14ac:dyDescent="0.25">
      <c r="A10" s="1"/>
      <c r="B10" s="34" t="s">
        <v>150</v>
      </c>
      <c r="C10" s="26"/>
      <c r="D10" s="25"/>
      <c r="E10" s="11"/>
      <c r="F10" s="25"/>
      <c r="G10" s="25"/>
      <c r="H10" s="22" t="s">
        <v>3</v>
      </c>
      <c r="I10" s="1"/>
    </row>
    <row r="11" spans="1:9" x14ac:dyDescent="0.25">
      <c r="A11" s="1"/>
      <c r="B11" s="93" t="s">
        <v>144</v>
      </c>
      <c r="C11" s="94"/>
      <c r="D11" s="95"/>
      <c r="E11" s="20">
        <f>SUM(E10:E10)</f>
        <v>0</v>
      </c>
      <c r="F11" s="20">
        <f>SUM(F10:F10)</f>
        <v>0</v>
      </c>
      <c r="G11" s="20">
        <f>SUM(G10:G10)</f>
        <v>0</v>
      </c>
      <c r="H11" s="2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3">
    <mergeCell ref="B3:H4"/>
    <mergeCell ref="B11:D11"/>
    <mergeCell ref="B8:H8"/>
  </mergeCells>
  <pageMargins left="0.5208333333333333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33.7109375" style="2" customWidth="1"/>
    <col min="3" max="3" width="5.42578125" style="2" hidden="1" customWidth="1"/>
    <col min="4" max="4" width="16.28515625" style="2" customWidth="1"/>
    <col min="5" max="5" width="3.28515625" style="2" customWidth="1"/>
    <col min="6" max="6" width="17.5703125" style="2" customWidth="1"/>
    <col min="7" max="7" width="3.28515625" style="2" customWidth="1"/>
    <col min="8" max="8" width="6.71093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0" t="s">
        <v>94</v>
      </c>
      <c r="C3" s="90"/>
      <c r="D3" s="90"/>
      <c r="E3" s="90"/>
      <c r="F3" s="90"/>
      <c r="G3" s="90"/>
      <c r="H3" s="1"/>
    </row>
    <row r="4" spans="1:8" ht="15" customHeight="1" x14ac:dyDescent="0.25">
      <c r="A4" s="1"/>
      <c r="B4" s="90"/>
      <c r="C4" s="90"/>
      <c r="D4" s="90"/>
      <c r="E4" s="90"/>
      <c r="F4" s="90"/>
      <c r="G4" s="90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45</v>
      </c>
      <c r="C8" s="43"/>
      <c r="D8" s="43"/>
      <c r="E8" s="43"/>
      <c r="F8" s="43"/>
      <c r="G8" s="44"/>
      <c r="H8" s="1"/>
    </row>
    <row r="9" spans="1:8" ht="15" customHeight="1" x14ac:dyDescent="0.25">
      <c r="A9" s="1"/>
      <c r="B9" s="32" t="s">
        <v>38</v>
      </c>
      <c r="C9" s="40"/>
      <c r="D9" s="32" t="s">
        <v>20</v>
      </c>
      <c r="E9" s="40"/>
      <c r="F9" s="32" t="s">
        <v>111</v>
      </c>
      <c r="G9" s="40"/>
      <c r="H9" s="1"/>
    </row>
    <row r="10" spans="1:8" x14ac:dyDescent="0.25">
      <c r="A10" s="1"/>
      <c r="B10" s="62" t="s">
        <v>143</v>
      </c>
      <c r="C10" s="63"/>
      <c r="D10" s="64">
        <f>'Fane 9. Anlægsprojekter'!F11</f>
        <v>0</v>
      </c>
      <c r="E10" s="22" t="s">
        <v>3</v>
      </c>
      <c r="F10" s="11">
        <f>SUM('Fane 9. Anlægsprojekter'!E11,'Fane 9. Anlægsprojekter'!G11)</f>
        <v>0</v>
      </c>
      <c r="G10" s="22" t="s">
        <v>3</v>
      </c>
      <c r="H10" s="1"/>
    </row>
    <row r="11" spans="1:8" x14ac:dyDescent="0.25">
      <c r="A11" s="1"/>
      <c r="B11" s="42" t="s">
        <v>147</v>
      </c>
      <c r="C11" s="44"/>
      <c r="D11" s="20">
        <f>SUM(D10:D10)</f>
        <v>0</v>
      </c>
      <c r="E11" s="21" t="s">
        <v>3</v>
      </c>
      <c r="F11" s="20">
        <f>SUM(F10:F10)</f>
        <v>0</v>
      </c>
      <c r="G11" s="21" t="s">
        <v>3</v>
      </c>
      <c r="H11" s="1"/>
    </row>
    <row r="12" spans="1:8" x14ac:dyDescent="0.25">
      <c r="A12" s="1"/>
      <c r="B12" s="42" t="s">
        <v>148</v>
      </c>
      <c r="C12" s="44"/>
      <c r="D12" s="20">
        <f>D11*(1+Prisudvikling2019)</f>
        <v>0</v>
      </c>
      <c r="E12" s="21" t="s">
        <v>3</v>
      </c>
      <c r="F12" s="20">
        <f>F11*(1+Prisudvikling2019)</f>
        <v>0</v>
      </c>
      <c r="G12" s="21" t="s">
        <v>3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</sheetData>
  <sheetProtection password="DFE9" sheet="1" objects="1" scenarios="1"/>
  <mergeCells count="1">
    <mergeCell ref="B3:G4"/>
  </mergeCells>
  <pageMargins left="0.6458333333333333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28515625" style="2" customWidth="1"/>
    <col min="2" max="2" width="38.140625" style="2" customWidth="1"/>
    <col min="3" max="3" width="16.7109375" style="2" customWidth="1"/>
    <col min="4" max="4" width="3.28515625" style="2" customWidth="1"/>
    <col min="5" max="5" width="18" style="2" customWidth="1"/>
    <col min="6" max="6" width="3.28515625" style="2" customWidth="1"/>
    <col min="7" max="7" width="3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40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39</v>
      </c>
      <c r="C8" s="43"/>
      <c r="D8" s="43"/>
      <c r="E8" s="43"/>
      <c r="F8" s="44"/>
      <c r="G8" s="1"/>
    </row>
    <row r="9" spans="1:7" ht="15" customHeight="1" x14ac:dyDescent="0.25">
      <c r="A9" s="1"/>
      <c r="B9" s="32" t="s">
        <v>41</v>
      </c>
      <c r="C9" s="32" t="s">
        <v>20</v>
      </c>
      <c r="D9" s="40"/>
      <c r="E9" s="32" t="s">
        <v>111</v>
      </c>
      <c r="F9" s="40"/>
      <c r="G9" s="1"/>
    </row>
    <row r="10" spans="1:7" x14ac:dyDescent="0.25">
      <c r="A10" s="1"/>
      <c r="B10" s="27" t="s">
        <v>157</v>
      </c>
      <c r="C10" s="25">
        <v>0</v>
      </c>
      <c r="D10" s="22" t="s">
        <v>3</v>
      </c>
      <c r="E10" s="25">
        <v>0</v>
      </c>
      <c r="F10" s="22" t="s">
        <v>3</v>
      </c>
      <c r="G10" s="1"/>
    </row>
    <row r="11" spans="1:7" x14ac:dyDescent="0.25">
      <c r="A11" s="1"/>
      <c r="B11" s="42" t="s">
        <v>145</v>
      </c>
      <c r="C11" s="20">
        <f>SUM(C10:C10)</f>
        <v>0</v>
      </c>
      <c r="D11" s="21" t="s">
        <v>3</v>
      </c>
      <c r="E11" s="20">
        <f>SUM(E10:E10)</f>
        <v>0</v>
      </c>
      <c r="F11" s="21" t="s">
        <v>3</v>
      </c>
      <c r="G11" s="1"/>
    </row>
    <row r="12" spans="1:7" x14ac:dyDescent="0.25">
      <c r="A12" s="1"/>
      <c r="B12" s="42" t="s">
        <v>146</v>
      </c>
      <c r="C12" s="20">
        <f>C11*(1+Prisudvikling2019)</f>
        <v>0</v>
      </c>
      <c r="D12" s="21" t="s">
        <v>3</v>
      </c>
      <c r="E12" s="20">
        <f>E11*(1+Prisudvikling2019)</f>
        <v>0</v>
      </c>
      <c r="F12" s="2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9.710937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7109375" style="2" customWidth="1"/>
    <col min="7" max="7" width="5.140625" style="2" hidden="1" customWidth="1"/>
    <col min="8" max="8" width="9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2" t="s">
        <v>149</v>
      </c>
      <c r="C3" s="92"/>
      <c r="D3" s="92"/>
      <c r="E3" s="92"/>
      <c r="F3" s="92"/>
      <c r="G3" s="1"/>
      <c r="H3" s="1"/>
    </row>
    <row r="4" spans="1:8" ht="25.5" customHeight="1" x14ac:dyDescent="0.25">
      <c r="A4" s="1"/>
      <c r="B4" s="92"/>
      <c r="C4" s="92"/>
      <c r="D4" s="92"/>
      <c r="E4" s="92"/>
      <c r="F4" s="92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2" t="s">
        <v>26</v>
      </c>
      <c r="C8" s="43"/>
      <c r="D8" s="43"/>
      <c r="E8" s="43"/>
      <c r="F8" s="44"/>
      <c r="G8" s="44"/>
      <c r="H8" s="1"/>
    </row>
    <row r="9" spans="1:8" x14ac:dyDescent="0.25">
      <c r="A9" s="1"/>
      <c r="B9" s="49" t="s">
        <v>53</v>
      </c>
      <c r="C9" s="50"/>
      <c r="D9" s="50"/>
      <c r="E9" s="51"/>
      <c r="F9" s="65">
        <v>1.2699999999999999E-2</v>
      </c>
      <c r="G9" s="66"/>
      <c r="H9" s="1"/>
    </row>
    <row r="10" spans="1:8" x14ac:dyDescent="0.25">
      <c r="A10" s="1"/>
      <c r="B10" s="49" t="s">
        <v>54</v>
      </c>
      <c r="C10" s="50"/>
      <c r="D10" s="50"/>
      <c r="E10" s="51"/>
      <c r="F10" s="65">
        <v>1.7500000000000002E-2</v>
      </c>
      <c r="G10" s="66"/>
      <c r="H10" s="1"/>
    </row>
    <row r="11" spans="1:8" x14ac:dyDescent="0.25">
      <c r="A11" s="1"/>
      <c r="B11" s="49" t="s">
        <v>55</v>
      </c>
      <c r="C11" s="50"/>
      <c r="D11" s="50"/>
      <c r="E11" s="51"/>
      <c r="F11" s="65">
        <v>1.6899999999999998E-2</v>
      </c>
      <c r="G11" s="66"/>
      <c r="H11" s="1"/>
    </row>
    <row r="12" spans="1:8" x14ac:dyDescent="0.25">
      <c r="A12" s="1"/>
      <c r="B12" s="42"/>
      <c r="C12" s="43"/>
      <c r="D12" s="43"/>
      <c r="E12" s="43"/>
      <c r="F12" s="44"/>
      <c r="G12" s="44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42" t="s">
        <v>14</v>
      </c>
      <c r="C15" s="43"/>
      <c r="D15" s="43"/>
      <c r="E15" s="43"/>
      <c r="F15" s="44"/>
      <c r="G15" s="44"/>
      <c r="H15" s="1"/>
    </row>
    <row r="16" spans="1:8" x14ac:dyDescent="0.25">
      <c r="A16" s="1"/>
      <c r="B16" s="49" t="s">
        <v>14</v>
      </c>
      <c r="C16" s="50"/>
      <c r="D16" s="50"/>
      <c r="E16" s="51"/>
      <c r="F16" s="65">
        <v>1.7000000000000001E-2</v>
      </c>
      <c r="G16" s="66"/>
      <c r="H16" s="1"/>
    </row>
    <row r="17" spans="1:8" x14ac:dyDescent="0.25">
      <c r="A17" s="1"/>
      <c r="B17" s="42"/>
      <c r="C17" s="43"/>
      <c r="D17" s="43"/>
      <c r="E17" s="43"/>
      <c r="F17" s="44"/>
      <c r="G17" s="44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76041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Korrektion prisloft 16</vt:lpstr>
      <vt:lpstr>Fane 7. Hist. over el. underdæk</vt:lpstr>
      <vt:lpstr>Fane 8. Kontrol af ØR2017</vt:lpstr>
      <vt:lpstr>Fane 9. Anlægsprojekter</vt:lpstr>
      <vt:lpstr>Fane 10. Tillæg</vt:lpstr>
      <vt:lpstr>Fane 11. Bortfald</vt:lpstr>
      <vt:lpstr>Fane 12. Nøgletal</vt:lpstr>
      <vt:lpstr>GenereltKrav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2018-08-10T11:27:31Z</dcterms:modified>
</cp:coreProperties>
</file>