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<sst xmlns="http://schemas.openxmlformats.org/spreadsheetml/2006/main" count="361" uniqueCount="159">
  <si>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</si>
  <si>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</si>
  <si>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</si>
  <si>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</si>
  <si>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</si>
  <si>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</si>
  <si>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</si>
  <si>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</si>
  <si>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</si>
  <si>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</si>
  <si>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</si>
  <si>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</si>
  <si>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</si>
  <si>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</si>
  <si>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</si>
  <si>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</si>
  <si>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</si>
  <si>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</si>
  <si>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</si>
  <si>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</si>
  <si>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</si>
  <si>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</si>
  <si>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</si>
  <si>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</si>
  <si>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</si>
  <si>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</si>
  <si>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</si>
  <si>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</si>
  <si>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</si>
  <si>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</si>
  <si>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</si>
  <si>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</si>
  <si>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</si>
  <si>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</si>
  <si>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</si>
  <si>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</si>
  <si>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</si>
  <si>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</si>
  <si>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</si>
  <si>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</si>
  <si>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</si>
  <si>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</si>
  <si>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</si>
  <si>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</si>
  <si>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</si>
  <si>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</si>
  <si>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</si>
  <si>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</si>
  <si>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</si>
  <si>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</si>
  <si>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</si>
  <si>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</si>
  <si>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</si>
  <si>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</si>
  <si>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</si>
  <si>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</si>
  <si>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</si>
  <si>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</si>
  <si>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</si>
  <si>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</si>
  <si>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</si>
  <si>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</si>
  <si>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</si>
  <si>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</si>
  <si>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</si>
  <si>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</si>
  <si>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</si>
  <si>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</si>
  <si>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</si>
  <si>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</si>
  <si>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</si>
  <si>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</si>
  <si>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</si>
  <si>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</si>
  <si>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</si>
  <si>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</si>
  <si>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</si>
  <si>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</si>
  <si>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</si>
  <si>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</si>
  <si>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</si>
  <si>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</si>
  <si>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</si>
  <si>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</si>
  <si>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</si>
  <si>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</si>
  <si>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</si>
  <si>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</si>
  <si>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</si>
  <si>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</si>
  <si>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</si>
  <si>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</si>
  <si>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</si>
  <si>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</si>
  <si>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</si>
  <si>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</si>
  <si>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</si>
  <si>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</si>
  <si>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</si>
  <si>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</si>
  <si>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</si>
  <si>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</si>
  <si>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</si>
  <si>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</si>
  <si>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</si>
  <si>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</si>
  <si>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</si>
  <si>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</si>
  <si>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</si>
  <si>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</si>
  <si>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</si>
  <si>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</si>
  <si>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</si>
  <si>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</si>
  <si>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</si>
  <si>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</si>
  <si>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</si>
  <si>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</si>
  <si>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</si>
  <si>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</si>
  <si>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</si>
  <si>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</si>
  <si>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</si>
  <si>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</si>
  <si>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</si>
  <si>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</si>
  <si>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</si>
  <si>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</si>
  <si>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</si>
  <si>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</si>
  <si>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</si>
  <si>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</si>
  <si>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</si>
  <si>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</si>
  <si>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</si>
  <si>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</si>
  <si>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</si>
  <si>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</si>
  <si>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</si>
  <si>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</si>
  <si>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</si>
  <si>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</si>
  <si>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</si>
  <si>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</si>
  <si>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</si>
  <si>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</si>
  <si>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</si>
  <si>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</si>
  <si>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</si>
  <si>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</si>
  <si>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Afgift for ledingsført vand</t>
  </si>
  <si>
    <t>Afgift til Forsyningsekretariatet</t>
  </si>
  <si>
    <t>Køb af ydelser og produkter fra andre vandselskaber reguleret af vandsektorloven</t>
  </si>
  <si>
    <t>Flytning af forsyningsledninger - Damgårdsvej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</si>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</sst>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8" fillId="9" borderId="1" xfId="0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104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32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31</v>
      </c>
      <c r="D14" s="72" t="s">
        <v>97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95</v>
      </c>
      <c r="D15" s="72" t="s">
        <v>98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96</v>
      </c>
      <c r="D16" s="72" t="s">
        <v>133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7</v>
      </c>
      <c r="D17" s="87" t="s">
        <v>99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8</v>
      </c>
      <c r="D18" s="87" t="s">
        <v>101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9</v>
      </c>
      <c r="D19" s="87" t="s">
        <v>100</v>
      </c>
      <c r="E19" s="88"/>
      <c r="F19" s="88"/>
      <c r="G19" s="89"/>
      <c r="H19" s="1"/>
      <c r="I19" s="1"/>
    </row>
    <row r="20" spans="1:9" x14ac:dyDescent="0.25">
      <c r="A20" s="1"/>
      <c r="B20" s="1"/>
      <c r="C20" s="6" t="s">
        <v>10</v>
      </c>
      <c r="D20" s="90" t="s">
        <v>130</v>
      </c>
      <c r="E20" s="91"/>
      <c r="F20" s="91"/>
      <c r="G20" s="92"/>
      <c r="H20" s="1"/>
      <c r="I20" s="1"/>
    </row>
    <row r="21" spans="1:9" x14ac:dyDescent="0.25">
      <c r="A21" s="1"/>
      <c r="B21" s="1"/>
      <c r="C21" s="6" t="s">
        <v>11</v>
      </c>
      <c r="D21" s="82" t="s">
        <v>102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82" t="s">
        <v>131</v>
      </c>
      <c r="E22" s="83"/>
      <c r="F22" s="83"/>
      <c r="G22" s="84"/>
      <c r="H22" s="1"/>
      <c r="I22" s="1"/>
    </row>
    <row r="23" spans="1:9" x14ac:dyDescent="0.25">
      <c r="A23" s="1"/>
      <c r="B23" s="1"/>
      <c r="C23" s="6" t="s">
        <v>13</v>
      </c>
      <c r="D23" s="82" t="s">
        <v>105</v>
      </c>
      <c r="E23" s="83"/>
      <c r="F23" s="83"/>
      <c r="G23" s="84"/>
      <c r="H23" s="1"/>
      <c r="I23" s="1"/>
    </row>
    <row r="24" spans="1:9" x14ac:dyDescent="0.25">
      <c r="A24" s="1"/>
      <c r="B24" s="1"/>
      <c r="C24" s="6" t="s">
        <v>25</v>
      </c>
      <c r="D24" s="78" t="s">
        <v>28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5" t="s">
        <v>103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30</v>
      </c>
      <c r="D26" s="75" t="s">
        <v>66</v>
      </c>
      <c r="E26" s="76"/>
      <c r="F26" s="76"/>
      <c r="G26" s="77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135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22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17</v>
      </c>
      <c r="C9" s="53"/>
      <c r="D9" s="53"/>
      <c r="E9" s="53"/>
      <c r="F9" s="54"/>
      <c r="G9" s="25">
        <v>-10839092</v>
      </c>
      <c r="H9" s="22" t="s">
        <v>3</v>
      </c>
      <c r="I9" s="1"/>
    </row>
    <row r="10" spans="1:9" x14ac:dyDescent="0.25">
      <c r="A10" s="1"/>
      <c r="B10" s="52" t="s">
        <v>56</v>
      </c>
      <c r="C10" s="53"/>
      <c r="D10" s="53"/>
      <c r="E10" s="53"/>
      <c r="F10" s="54"/>
      <c r="G10" s="25">
        <v>-8675102</v>
      </c>
      <c r="H10" s="22" t="s">
        <v>3</v>
      </c>
      <c r="I10" s="1"/>
    </row>
    <row r="11" spans="1:9" x14ac:dyDescent="0.25">
      <c r="A11" s="1"/>
      <c r="B11" s="60" t="s">
        <v>19</v>
      </c>
      <c r="C11" s="61"/>
      <c r="D11" s="61"/>
      <c r="E11" s="61"/>
      <c r="F11" s="62"/>
      <c r="G11" s="36">
        <f>G9-G10</f>
        <v>-2163990</v>
      </c>
      <c r="H11" s="29" t="s">
        <v>3</v>
      </c>
      <c r="I11" s="1"/>
    </row>
    <row r="12" spans="1:9" x14ac:dyDescent="0.25">
      <c r="A12" s="1"/>
      <c r="B12" s="52" t="s">
        <v>18</v>
      </c>
      <c r="C12" s="53"/>
      <c r="D12" s="53"/>
      <c r="E12" s="53"/>
      <c r="F12" s="54"/>
      <c r="G12" s="25">
        <v>2</v>
      </c>
      <c r="H12" s="22" t="s">
        <v>43</v>
      </c>
      <c r="I12" s="1"/>
    </row>
    <row r="13" spans="1:9" x14ac:dyDescent="0.25">
      <c r="A13" s="1"/>
      <c r="B13" s="45" t="s">
        <v>16</v>
      </c>
      <c r="C13" s="46"/>
      <c r="D13" s="46"/>
      <c r="E13" s="46"/>
      <c r="F13" s="47"/>
      <c r="G13" s="20">
        <f>IF(G12 = 0,0,G11/G12)</f>
        <v>-1081995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136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4522618.7587521989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3918138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5" t="s">
        <v>108</v>
      </c>
      <c r="C12" s="106"/>
      <c r="D12" s="107"/>
      <c r="E12" s="17">
        <f>E9-(E10-E11)</f>
        <v>604480.75875219889</v>
      </c>
      <c r="F12" s="28" t="s">
        <v>3</v>
      </c>
      <c r="G12" s="17">
        <f>E12</f>
        <v>604480.75875219889</v>
      </c>
      <c r="H12" s="28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47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102" t="s">
        <v>115</v>
      </c>
      <c r="C18" s="103"/>
      <c r="D18" s="104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102" t="s">
        <v>116</v>
      </c>
      <c r="C19" s="103"/>
      <c r="D19" s="104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102" t="s">
        <v>117</v>
      </c>
      <c r="C20" s="103"/>
      <c r="D20" s="104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0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142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4" t="s">
        <v>0</v>
      </c>
      <c r="C9" s="44" t="s">
        <v>1</v>
      </c>
      <c r="D9" s="44" t="s">
        <v>110</v>
      </c>
      <c r="E9" s="18" t="s">
        <v>2</v>
      </c>
      <c r="F9" s="18" t="s">
        <v>89</v>
      </c>
      <c r="G9" s="18" t="s">
        <v>90</v>
      </c>
      <c r="H9" s="41"/>
      <c r="I9" s="1"/>
    </row>
    <row r="10" spans="1:9" ht="26.25" x14ac:dyDescent="0.25">
      <c r="A10" s="1"/>
      <c r="B10" s="34" t="s">
        <v>154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94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45</v>
      </c>
      <c r="C8" s="46"/>
      <c r="D8" s="46"/>
      <c r="E8" s="46"/>
      <c r="F8" s="46"/>
      <c r="G8" s="47"/>
      <c r="H8" s="1"/>
    </row>
    <row r="9" spans="1:8" ht="15" customHeight="1" x14ac:dyDescent="0.25">
      <c r="A9" s="1"/>
      <c r="B9" s="32" t="s">
        <v>38</v>
      </c>
      <c r="C9" s="41"/>
      <c r="D9" s="32" t="s">
        <v>20</v>
      </c>
      <c r="E9" s="41"/>
      <c r="F9" s="32" t="s">
        <v>111</v>
      </c>
      <c r="G9" s="41"/>
      <c r="H9" s="1"/>
    </row>
    <row r="10" spans="1:8" x14ac:dyDescent="0.25">
      <c r="A10" s="1"/>
      <c r="B10" s="65" t="s">
        <v>143</v>
      </c>
      <c r="C10" s="66"/>
      <c r="D10" s="67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153</v>
      </c>
      <c r="C11" s="43"/>
      <c r="D11" s="35">
        <v>0</v>
      </c>
      <c r="E11" s="22" t="s">
        <v>3</v>
      </c>
      <c r="F11" s="25">
        <v>2580</v>
      </c>
      <c r="G11" s="22" t="s">
        <v>3</v>
      </c>
      <c r="H11" s="1"/>
    </row>
    <row r="12" spans="1:8" x14ac:dyDescent="0.25">
      <c r="A12" s="1"/>
      <c r="B12" s="45" t="s">
        <v>147</v>
      </c>
      <c r="C12" s="47"/>
      <c r="D12" s="20">
        <f>SUM(D10:D11)</f>
        <v>0</v>
      </c>
      <c r="E12" s="21" t="s">
        <v>3</v>
      </c>
      <c r="F12" s="20">
        <f>SUM(F10:F11)</f>
        <v>2580</v>
      </c>
      <c r="G12" s="21" t="s">
        <v>3</v>
      </c>
      <c r="H12" s="1"/>
    </row>
    <row r="13" spans="1:8" x14ac:dyDescent="0.25">
      <c r="A13" s="1"/>
      <c r="B13" s="45" t="s">
        <v>148</v>
      </c>
      <c r="C13" s="47"/>
      <c r="D13" s="20">
        <f>D12*(1+Prisudvikling2019)</f>
        <v>0</v>
      </c>
      <c r="E13" s="21" t="s">
        <v>3</v>
      </c>
      <c r="F13" s="20">
        <f>F12*(1+Prisudvikling2019)</f>
        <v>2623.6019999999999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40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39</v>
      </c>
      <c r="C8" s="46"/>
      <c r="D8" s="46"/>
      <c r="E8" s="46"/>
      <c r="F8" s="47"/>
      <c r="G8" s="1"/>
    </row>
    <row r="9" spans="1:7" ht="15" customHeight="1" x14ac:dyDescent="0.25">
      <c r="A9" s="1"/>
      <c r="B9" s="32" t="s">
        <v>41</v>
      </c>
      <c r="C9" s="32" t="s">
        <v>20</v>
      </c>
      <c r="D9" s="41"/>
      <c r="E9" s="32" t="s">
        <v>111</v>
      </c>
      <c r="F9" s="41"/>
      <c r="G9" s="1"/>
    </row>
    <row r="10" spans="1:7" x14ac:dyDescent="0.25">
      <c r="A10" s="1"/>
      <c r="B10" s="27" t="s">
        <v>157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5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5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149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26</v>
      </c>
      <c r="C8" s="46"/>
      <c r="D8" s="46"/>
      <c r="E8" s="46"/>
      <c r="F8" s="47"/>
      <c r="G8" s="47"/>
      <c r="H8" s="1"/>
    </row>
    <row r="9" spans="1:8" x14ac:dyDescent="0.25">
      <c r="A9" s="1"/>
      <c r="B9" s="52" t="s">
        <v>53</v>
      </c>
      <c r="C9" s="53"/>
      <c r="D9" s="53"/>
      <c r="E9" s="54"/>
      <c r="F9" s="68">
        <v>1.2699999999999999E-2</v>
      </c>
      <c r="G9" s="69"/>
      <c r="H9" s="1"/>
    </row>
    <row r="10" spans="1:8" x14ac:dyDescent="0.25">
      <c r="A10" s="1"/>
      <c r="B10" s="52" t="s">
        <v>54</v>
      </c>
      <c r="C10" s="53"/>
      <c r="D10" s="53"/>
      <c r="E10" s="54"/>
      <c r="F10" s="68">
        <v>1.7500000000000002E-2</v>
      </c>
      <c r="G10" s="69"/>
      <c r="H10" s="1"/>
    </row>
    <row r="11" spans="1:8" x14ac:dyDescent="0.25">
      <c r="A11" s="1"/>
      <c r="B11" s="52" t="s">
        <v>55</v>
      </c>
      <c r="C11" s="53"/>
      <c r="D11" s="53"/>
      <c r="E11" s="54"/>
      <c r="F11" s="68">
        <v>1.6899999999999998E-2</v>
      </c>
      <c r="G11" s="69"/>
      <c r="H11" s="1"/>
    </row>
    <row r="12" spans="1:8" x14ac:dyDescent="0.25">
      <c r="A12" s="1"/>
      <c r="B12" s="45"/>
      <c r="C12" s="46"/>
      <c r="D12" s="46"/>
      <c r="E12" s="46"/>
      <c r="F12" s="47"/>
      <c r="G12" s="47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5" t="s">
        <v>14</v>
      </c>
      <c r="C15" s="46"/>
      <c r="D15" s="46"/>
      <c r="E15" s="46"/>
      <c r="F15" s="47"/>
      <c r="G15" s="47"/>
      <c r="H15" s="1"/>
    </row>
    <row r="16" spans="1:8" x14ac:dyDescent="0.25">
      <c r="A16" s="1"/>
      <c r="B16" s="52" t="s">
        <v>14</v>
      </c>
      <c r="C16" s="53"/>
      <c r="D16" s="53"/>
      <c r="E16" s="54"/>
      <c r="F16" s="68">
        <v>1.7000000000000001E-2</v>
      </c>
      <c r="G16" s="69"/>
      <c r="H16" s="1"/>
    </row>
    <row r="17" spans="1:8" x14ac:dyDescent="0.25">
      <c r="A17" s="1"/>
      <c r="B17" s="45"/>
      <c r="C17" s="46"/>
      <c r="D17" s="46"/>
      <c r="E17" s="46"/>
      <c r="F17" s="47"/>
      <c r="G17" s="47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29.25" customHeight="1" x14ac:dyDescent="0.25">
      <c r="A9" s="1"/>
      <c r="B9" s="48" t="s">
        <v>60</v>
      </c>
      <c r="C9" s="7">
        <f>'Fane 3. Omkostninger i ØR2018'!G13</f>
        <v>2547490.9503794778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51" t="s">
        <v>50</v>
      </c>
      <c r="C10" s="7">
        <f>'Fane 3. Omkostninger i ØR2018'!G10</f>
        <v>0</v>
      </c>
      <c r="D10" s="8"/>
      <c r="E10" s="37"/>
      <c r="F10" s="13"/>
      <c r="G10" s="1"/>
    </row>
    <row r="11" spans="1:7" x14ac:dyDescent="0.25">
      <c r="A11" s="1"/>
      <c r="B11" s="49" t="s">
        <v>51</v>
      </c>
      <c r="C11" s="11">
        <f>SUM('Fane 10. Tillæg'!D13,'Fane 10. Tillæg'!F13)</f>
        <v>2623.6019999999999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42</v>
      </c>
      <c r="C13" s="11">
        <f>(C9-C10)*Prisudvikling2017+C10*Prisudvikling2018+SUM(C11:C12)*Prisudvikling2019</f>
        <v>32397.473943619367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9" t="s">
        <v>14</v>
      </c>
      <c r="C14" s="11">
        <f>-SUM(C9,C11:C13)*GenereltKrav</f>
        <v>-43902.704447492659</v>
      </c>
      <c r="D14" s="8" t="s">
        <v>3</v>
      </c>
      <c r="E14" s="15"/>
      <c r="F14" s="16"/>
      <c r="G14" s="1"/>
    </row>
    <row r="15" spans="1:7" x14ac:dyDescent="0.25">
      <c r="A15" s="1"/>
      <c r="B15" s="50" t="s">
        <v>46</v>
      </c>
      <c r="C15" s="17">
        <f>SUM(C9,C11:C14)</f>
        <v>2538609.3218756048</v>
      </c>
      <c r="D15" s="18" t="s">
        <v>3</v>
      </c>
      <c r="E15" s="17">
        <f>C15</f>
        <v>2538609.3218756048</v>
      </c>
      <c r="F15" s="18" t="s">
        <v>3</v>
      </c>
      <c r="G15" s="1"/>
    </row>
    <row r="16" spans="1:7" x14ac:dyDescent="0.25">
      <c r="A16" s="1"/>
      <c r="B16" s="45" t="s">
        <v>44</v>
      </c>
      <c r="C16" s="46"/>
      <c r="D16" s="46"/>
      <c r="E16" s="46"/>
      <c r="F16" s="47"/>
      <c r="G16" s="1"/>
    </row>
    <row r="17" spans="1:7" ht="15" customHeight="1" x14ac:dyDescent="0.25">
      <c r="A17" s="1"/>
      <c r="B17" s="49" t="s">
        <v>155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9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5" t="s">
        <v>21</v>
      </c>
      <c r="C20" s="46"/>
      <c r="D20" s="46"/>
      <c r="E20" s="46"/>
      <c r="F20" s="47"/>
      <c r="G20" s="1"/>
    </row>
    <row r="21" spans="1:7" ht="15" customHeight="1" x14ac:dyDescent="0.25">
      <c r="A21" s="1"/>
      <c r="B21" s="49" t="s">
        <v>21</v>
      </c>
      <c r="C21" s="11">
        <f>'Fane 5. Ikke-påvirkelige omk.'!E14</f>
        <v>2884054.4254338993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9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2884054.4254338993</v>
      </c>
      <c r="D23" s="18" t="s">
        <v>3</v>
      </c>
      <c r="E23" s="17">
        <f>C23</f>
        <v>2884054.4254338993</v>
      </c>
      <c r="F23" s="18" t="s">
        <v>3</v>
      </c>
      <c r="G23" s="1"/>
    </row>
    <row r="24" spans="1:7" ht="15" customHeight="1" x14ac:dyDescent="0.25">
      <c r="A24" s="1"/>
      <c r="B24" s="45" t="s">
        <v>88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62</v>
      </c>
      <c r="C25" s="70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8" t="s">
        <v>63</v>
      </c>
      <c r="C26" s="70">
        <v>0</v>
      </c>
      <c r="D26" s="8" t="s">
        <v>3</v>
      </c>
      <c r="E26" s="38"/>
      <c r="F26" s="13"/>
      <c r="G26" s="1"/>
    </row>
    <row r="27" spans="1:7" ht="28.5" customHeight="1" x14ac:dyDescent="0.25">
      <c r="A27" s="1"/>
      <c r="B27" s="49" t="s">
        <v>64</v>
      </c>
      <c r="C27" s="70">
        <v>13399.968719842353</v>
      </c>
      <c r="D27" s="8" t="s">
        <v>3</v>
      </c>
      <c r="E27" s="37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13399.968719842353</v>
      </c>
      <c r="D28" s="18" t="s">
        <v>3</v>
      </c>
      <c r="E28" s="17">
        <f>C28</f>
        <v>13399.968719842353</v>
      </c>
      <c r="F28" s="18" t="s">
        <v>3</v>
      </c>
      <c r="G28" s="1"/>
    </row>
    <row r="29" spans="1:7" x14ac:dyDescent="0.25">
      <c r="A29" s="1"/>
      <c r="B29" s="45" t="s">
        <v>15</v>
      </c>
      <c r="C29" s="46"/>
      <c r="D29" s="46"/>
      <c r="E29" s="46"/>
      <c r="F29" s="47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-1081995</v>
      </c>
      <c r="D30" s="18" t="s">
        <v>3</v>
      </c>
      <c r="E30" s="17">
        <f>C30</f>
        <v>-1081995</v>
      </c>
      <c r="F30" s="18" t="s">
        <v>3</v>
      </c>
      <c r="G30" s="1"/>
    </row>
    <row r="31" spans="1:7" x14ac:dyDescent="0.25">
      <c r="A31" s="1"/>
      <c r="B31" s="45" t="s">
        <v>35</v>
      </c>
      <c r="C31" s="46"/>
      <c r="D31" s="47"/>
      <c r="E31" s="20">
        <f>SUM(E15,E19,E23,E28,E30)</f>
        <v>4354068.716029346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48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67</v>
      </c>
      <c r="C9" s="7">
        <f>'Fane 2.1. Økonomisk ramme 2019'!E15</f>
        <v>2538609.3218756048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50</v>
      </c>
      <c r="C10" s="7">
        <f>'Fane 2.1. Økonomisk ramme 2019'!C10*(1+Prisudvikling2018)*(1-GenereltKrav)</f>
        <v>0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68</v>
      </c>
      <c r="C11" s="7">
        <f>SUM('Fane 2.1. Økonomisk ramme 2019'!C11:C12)*(1+Prisudvikling2019)*(1-GenereltKrav)</f>
        <v>2622.5858789453996</v>
      </c>
      <c r="D11" s="8" t="s">
        <v>3</v>
      </c>
      <c r="E11" s="37"/>
      <c r="F11" s="13"/>
      <c r="G11" s="1"/>
    </row>
    <row r="12" spans="1:7" ht="15" customHeight="1" x14ac:dyDescent="0.25">
      <c r="A12" s="1"/>
      <c r="B12" s="49" t="s">
        <v>42</v>
      </c>
      <c r="C12" s="11">
        <f>(C9-C10-C11)*Prisudvikling2017+C10*Prisudvikling2018+C11*Prisudvikling2019</f>
        <v>32251.35324851175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14</v>
      </c>
      <c r="C13" s="11">
        <f>-SUM(C9,C12)*GenereltKrav</f>
        <v>-43704.631477109986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50" t="s">
        <v>46</v>
      </c>
      <c r="C14" s="17">
        <f>SUM(C9,C12:C13)</f>
        <v>2527156.0436470066</v>
      </c>
      <c r="D14" s="18" t="s">
        <v>3</v>
      </c>
      <c r="E14" s="17">
        <f>C14</f>
        <v>2527156.0436470066</v>
      </c>
      <c r="F14" s="18" t="s">
        <v>3</v>
      </c>
      <c r="G14" s="1"/>
    </row>
    <row r="15" spans="1:7" ht="15" customHeight="1" x14ac:dyDescent="0.25">
      <c r="A15" s="1"/>
      <c r="B15" s="45" t="s">
        <v>44</v>
      </c>
      <c r="C15" s="46"/>
      <c r="D15" s="46"/>
      <c r="E15" s="46"/>
      <c r="F15" s="47"/>
      <c r="G15" s="1"/>
    </row>
    <row r="16" spans="1:7" ht="15" customHeight="1" x14ac:dyDescent="0.25">
      <c r="A16" s="1"/>
      <c r="B16" s="49" t="s">
        <v>155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9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5" t="s">
        <v>21</v>
      </c>
      <c r="C19" s="46"/>
      <c r="D19" s="46"/>
      <c r="E19" s="46"/>
      <c r="F19" s="47"/>
      <c r="G19" s="1"/>
    </row>
    <row r="20" spans="1:7" ht="14.25" customHeight="1" x14ac:dyDescent="0.25">
      <c r="A20" s="1"/>
      <c r="B20" s="49" t="s">
        <v>21</v>
      </c>
      <c r="C20" s="11">
        <f>'Fane 5. Ikke-påvirkelige omk.'!E14*(1+Prisudvikling2019)</f>
        <v>2932794.9452237319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9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2932794.9452237319</v>
      </c>
      <c r="D22" s="18" t="s">
        <v>3</v>
      </c>
      <c r="E22" s="17">
        <f>C22</f>
        <v>2932794.9452237319</v>
      </c>
      <c r="F22" s="18" t="s">
        <v>3</v>
      </c>
      <c r="G22" s="1"/>
    </row>
    <row r="23" spans="1:7" x14ac:dyDescent="0.25">
      <c r="A23" s="1"/>
      <c r="B23" s="45" t="s">
        <v>15</v>
      </c>
      <c r="C23" s="46"/>
      <c r="D23" s="46"/>
      <c r="E23" s="46"/>
      <c r="F23" s="47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-1081995</v>
      </c>
      <c r="D24" s="18" t="s">
        <v>3</v>
      </c>
      <c r="E24" s="17">
        <f>C24</f>
        <v>-1081995</v>
      </c>
      <c r="F24" s="18" t="s">
        <v>3</v>
      </c>
      <c r="G24" s="1"/>
    </row>
    <row r="25" spans="1:7" x14ac:dyDescent="0.25">
      <c r="A25" s="1"/>
      <c r="B25" s="45" t="s">
        <v>69</v>
      </c>
      <c r="C25" s="46"/>
      <c r="D25" s="47"/>
      <c r="E25" s="20">
        <f>SUM(E14,E18,E22,E24)</f>
        <v>4377955.9888707381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91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49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52" t="s">
        <v>70</v>
      </c>
      <c r="C9" s="7">
        <f>'Fane 2.2. Økonomisk ramme 2020'!E14</f>
        <v>2527156.0436470066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27</v>
      </c>
      <c r="C10" s="7">
        <f>'Fane 4. Korrigeret grundlag'!G24</f>
        <v>-40252.373731591812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42</v>
      </c>
      <c r="C11" s="11">
        <f>SUM(C9:C10)*Prisudvikling2019</f>
        <v>42028.672021570506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14</v>
      </c>
      <c r="C12" s="11">
        <f>-SUM(C9:C11)*GenereltKrav</f>
        <v>-42991.849812928755</v>
      </c>
      <c r="D12" s="8" t="s">
        <v>3</v>
      </c>
      <c r="E12" s="15"/>
      <c r="F12" s="16"/>
      <c r="G12" s="1"/>
    </row>
    <row r="13" spans="1:7" x14ac:dyDescent="0.25">
      <c r="A13" s="1"/>
      <c r="B13" s="50" t="s">
        <v>46</v>
      </c>
      <c r="C13" s="17">
        <f>SUM(C9:C12)</f>
        <v>2485940.4921240569</v>
      </c>
      <c r="D13" s="18" t="s">
        <v>3</v>
      </c>
      <c r="E13" s="17">
        <f>C13</f>
        <v>2485940.4921240569</v>
      </c>
      <c r="F13" s="18" t="s">
        <v>3</v>
      </c>
      <c r="G13" s="1"/>
    </row>
    <row r="14" spans="1:7" x14ac:dyDescent="0.25">
      <c r="A14" s="1"/>
      <c r="B14" s="45" t="s">
        <v>44</v>
      </c>
      <c r="C14" s="46"/>
      <c r="D14" s="46"/>
      <c r="E14" s="46"/>
      <c r="F14" s="47"/>
      <c r="G14" s="1"/>
    </row>
    <row r="15" spans="1:7" ht="15" customHeight="1" x14ac:dyDescent="0.25">
      <c r="A15" s="1"/>
      <c r="B15" s="49" t="s">
        <v>155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9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5" t="s">
        <v>21</v>
      </c>
      <c r="C18" s="46"/>
      <c r="D18" s="46"/>
      <c r="E18" s="46"/>
      <c r="F18" s="47"/>
      <c r="G18" s="1"/>
    </row>
    <row r="19" spans="1:7" ht="15" customHeight="1" x14ac:dyDescent="0.25">
      <c r="A19" s="1"/>
      <c r="B19" s="49" t="s">
        <v>21</v>
      </c>
      <c r="C19" s="11">
        <f>'Fane 5. Ikke-påvirkelige omk.'!E14*(1+Prisudvikling2019)^2</f>
        <v>2982359.1797980126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9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2982359.1797980126</v>
      </c>
      <c r="D21" s="18" t="s">
        <v>3</v>
      </c>
      <c r="E21" s="17">
        <f>C21</f>
        <v>2982359.1797980126</v>
      </c>
      <c r="F21" s="18" t="s">
        <v>3</v>
      </c>
      <c r="G21" s="1"/>
    </row>
    <row r="22" spans="1:7" x14ac:dyDescent="0.25">
      <c r="A22" s="1"/>
      <c r="B22" s="45" t="s">
        <v>125</v>
      </c>
      <c r="C22" s="46"/>
      <c r="D22" s="46"/>
      <c r="E22" s="46"/>
      <c r="F22" s="47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25051.972248250917</v>
      </c>
      <c r="D23" s="18" t="s">
        <v>3</v>
      </c>
      <c r="E23" s="17">
        <f>C23</f>
        <v>25051.972248250917</v>
      </c>
      <c r="F23" s="18" t="s">
        <v>3</v>
      </c>
      <c r="G23" s="1"/>
    </row>
    <row r="24" spans="1:7" x14ac:dyDescent="0.25">
      <c r="A24" s="1"/>
      <c r="B24" s="45" t="s">
        <v>122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123</v>
      </c>
      <c r="C25" s="11">
        <f>'Fane 6. Korrektion prisloft 16'!G22</f>
        <v>-52381.712038283586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8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4">
        <f>SUM(C25:C26)</f>
        <v>-52381.712038283586</v>
      </c>
      <c r="D27" s="41" t="s">
        <v>3</v>
      </c>
      <c r="E27" s="17">
        <f>C27</f>
        <v>-52381.712038283586</v>
      </c>
      <c r="F27" s="18" t="s">
        <v>3</v>
      </c>
      <c r="G27" s="1"/>
    </row>
    <row r="28" spans="1:7" x14ac:dyDescent="0.25">
      <c r="A28" s="1"/>
      <c r="B28" s="45" t="s">
        <v>85</v>
      </c>
      <c r="C28" s="46"/>
      <c r="D28" s="47"/>
      <c r="E28" s="20">
        <f>SUM(E13,E17,E21,E23,E27)</f>
        <v>5440969.9321320364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49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80</v>
      </c>
      <c r="C9" s="7">
        <f>'Fane 2.3. Økonomisk ramme 2021'!E13</f>
        <v>2485940.4921240569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42</v>
      </c>
      <c r="C10" s="11">
        <f>C9*Prisudvikling2019</f>
        <v>42012.394316896556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9" t="s">
        <v>14</v>
      </c>
      <c r="C11" s="11">
        <f>-SUM(C9:C10)*GenereltKrav</f>
        <v>-42975.199069496208</v>
      </c>
      <c r="D11" s="8" t="s">
        <v>3</v>
      </c>
      <c r="E11" s="15"/>
      <c r="F11" s="16"/>
      <c r="G11" s="1"/>
    </row>
    <row r="12" spans="1:7" x14ac:dyDescent="0.25">
      <c r="A12" s="1"/>
      <c r="B12" s="50" t="s">
        <v>46</v>
      </c>
      <c r="C12" s="17">
        <f>SUM(C9:C11)</f>
        <v>2484977.687371457</v>
      </c>
      <c r="D12" s="18" t="s">
        <v>3</v>
      </c>
      <c r="E12" s="17">
        <f>C12</f>
        <v>2484977.687371457</v>
      </c>
      <c r="F12" s="18" t="s">
        <v>3</v>
      </c>
      <c r="G12" s="1"/>
    </row>
    <row r="13" spans="1:7" x14ac:dyDescent="0.25">
      <c r="A13" s="1"/>
      <c r="B13" s="45" t="s">
        <v>44</v>
      </c>
      <c r="C13" s="46"/>
      <c r="D13" s="46"/>
      <c r="E13" s="46"/>
      <c r="F13" s="47"/>
      <c r="G13" s="1"/>
    </row>
    <row r="14" spans="1:7" ht="15" customHeight="1" x14ac:dyDescent="0.25">
      <c r="A14" s="1"/>
      <c r="B14" s="49" t="s">
        <v>155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9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5" t="s">
        <v>21</v>
      </c>
      <c r="C17" s="46"/>
      <c r="D17" s="46"/>
      <c r="E17" s="46"/>
      <c r="F17" s="47"/>
      <c r="G17" s="1"/>
    </row>
    <row r="18" spans="1:7" ht="15" customHeight="1" x14ac:dyDescent="0.25">
      <c r="A18" s="1"/>
      <c r="B18" s="49" t="s">
        <v>21</v>
      </c>
      <c r="C18" s="11">
        <f>'Fane 5. Ikke-påvirkelige omk.'!E14*(1+Prisudvikling2019)^3</f>
        <v>3032761.0499365986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9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3032761.0499365986</v>
      </c>
      <c r="D20" s="18" t="s">
        <v>3</v>
      </c>
      <c r="E20" s="17">
        <f>C20</f>
        <v>3032761.0499365986</v>
      </c>
      <c r="F20" s="18" t="s">
        <v>3</v>
      </c>
      <c r="G20" s="1"/>
    </row>
    <row r="21" spans="1:7" x14ac:dyDescent="0.25">
      <c r="A21" s="1"/>
      <c r="B21" s="45" t="s">
        <v>125</v>
      </c>
      <c r="C21" s="46"/>
      <c r="D21" s="46"/>
      <c r="E21" s="46"/>
      <c r="F21" s="47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25475.350579246355</v>
      </c>
      <c r="D22" s="18" t="s">
        <v>3</v>
      </c>
      <c r="E22" s="17">
        <f>C22</f>
        <v>25475.350579246355</v>
      </c>
      <c r="F22" s="18" t="s">
        <v>3</v>
      </c>
      <c r="G22" s="1"/>
    </row>
    <row r="23" spans="1:7" ht="15" customHeight="1" x14ac:dyDescent="0.25">
      <c r="A23" s="1"/>
      <c r="B23" s="45" t="s">
        <v>122</v>
      </c>
      <c r="C23" s="46"/>
      <c r="D23" s="46"/>
      <c r="E23" s="46"/>
      <c r="F23" s="47"/>
      <c r="G23" s="1"/>
    </row>
    <row r="24" spans="1:7" ht="15" customHeight="1" x14ac:dyDescent="0.25">
      <c r="A24" s="1"/>
      <c r="B24" s="48" t="s">
        <v>123</v>
      </c>
      <c r="C24" s="11">
        <f>'Fane 2.3. Økonomisk ramme 2021'!C25*(1+Prisudvikling2019)</f>
        <v>-53266.962971730572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8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64">
        <f>SUM(C24:C25)</f>
        <v>-53266.962971730572</v>
      </c>
      <c r="D26" s="41" t="s">
        <v>3</v>
      </c>
      <c r="E26" s="17">
        <f>C26</f>
        <v>-53266.962971730572</v>
      </c>
      <c r="F26" s="18" t="s">
        <v>3</v>
      </c>
      <c r="G26" s="1"/>
    </row>
    <row r="27" spans="1:7" x14ac:dyDescent="0.25">
      <c r="A27" s="1"/>
      <c r="B27" s="45" t="s">
        <v>79</v>
      </c>
      <c r="C27" s="46"/>
      <c r="D27" s="47"/>
      <c r="E27" s="20">
        <f>SUM(E12,E16,E20,E22,E26)</f>
        <v>5489947.124915571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60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34</v>
      </c>
      <c r="C9" s="53"/>
      <c r="D9" s="53"/>
      <c r="E9" s="53"/>
      <c r="F9" s="54"/>
      <c r="G9" s="25">
        <v>5404516.1096014744</v>
      </c>
      <c r="H9" s="22" t="s">
        <v>3</v>
      </c>
      <c r="I9" s="1"/>
    </row>
    <row r="10" spans="1:9" x14ac:dyDescent="0.25">
      <c r="A10" s="1"/>
      <c r="B10" s="51" t="s">
        <v>61</v>
      </c>
      <c r="C10" s="53"/>
      <c r="D10" s="53"/>
      <c r="E10" s="53"/>
      <c r="F10" s="54"/>
      <c r="G10" s="25">
        <v>0</v>
      </c>
      <c r="H10" s="22" t="s">
        <v>3</v>
      </c>
      <c r="I10" s="1"/>
    </row>
    <row r="11" spans="1:9" x14ac:dyDescent="0.25">
      <c r="A11" s="1"/>
      <c r="B11" s="51" t="s">
        <v>58</v>
      </c>
      <c r="C11" s="53"/>
      <c r="D11" s="53"/>
      <c r="E11" s="53"/>
      <c r="F11" s="54"/>
      <c r="G11" s="25">
        <v>2857025.1592219966</v>
      </c>
      <c r="H11" s="22" t="s">
        <v>3</v>
      </c>
      <c r="I11" s="1"/>
    </row>
    <row r="12" spans="1:9" x14ac:dyDescent="0.25">
      <c r="A12" s="1"/>
      <c r="B12" s="51" t="s">
        <v>59</v>
      </c>
      <c r="C12" s="53"/>
      <c r="D12" s="53"/>
      <c r="E12" s="53"/>
      <c r="F12" s="54"/>
      <c r="G12" s="25">
        <v>0</v>
      </c>
      <c r="H12" s="22" t="s">
        <v>3</v>
      </c>
      <c r="I12" s="1"/>
    </row>
    <row r="13" spans="1:9" ht="26.25" customHeight="1" x14ac:dyDescent="0.25">
      <c r="A13" s="1"/>
      <c r="B13" s="55" t="s">
        <v>81</v>
      </c>
      <c r="C13" s="56"/>
      <c r="D13" s="56"/>
      <c r="E13" s="56"/>
      <c r="F13" s="57"/>
      <c r="G13" s="39">
        <f>G9-G11-G12</f>
        <v>2547490.9503794778</v>
      </c>
      <c r="H13" s="40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139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71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72</v>
      </c>
      <c r="C9" s="53"/>
      <c r="D9" s="53"/>
      <c r="E9" s="53"/>
      <c r="F9" s="54"/>
      <c r="G9" s="25">
        <v>1325626.0333589814</v>
      </c>
      <c r="H9" s="22" t="s">
        <v>3</v>
      </c>
      <c r="I9" s="1"/>
    </row>
    <row r="10" spans="1:9" x14ac:dyDescent="0.25">
      <c r="A10" s="1"/>
      <c r="B10" s="52" t="s">
        <v>73</v>
      </c>
      <c r="C10" s="53"/>
      <c r="D10" s="53"/>
      <c r="E10" s="53"/>
      <c r="F10" s="54"/>
      <c r="G10" s="25">
        <v>1277650.7553575381</v>
      </c>
      <c r="H10" s="22" t="s">
        <v>3</v>
      </c>
      <c r="I10" s="1"/>
    </row>
    <row r="11" spans="1:9" ht="26.25" customHeight="1" x14ac:dyDescent="0.25">
      <c r="A11" s="1"/>
      <c r="B11" s="55" t="s">
        <v>74</v>
      </c>
      <c r="C11" s="56"/>
      <c r="D11" s="56"/>
      <c r="E11" s="56"/>
      <c r="F11" s="57"/>
      <c r="G11" s="39">
        <f>SUM(G9:G10)</f>
        <v>2603276.7887165193</v>
      </c>
      <c r="H11" s="40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5" t="s">
        <v>75</v>
      </c>
      <c r="C14" s="46"/>
      <c r="D14" s="46"/>
      <c r="E14" s="46"/>
      <c r="F14" s="46"/>
      <c r="G14" s="46"/>
      <c r="H14" s="47"/>
      <c r="I14" s="1"/>
    </row>
    <row r="15" spans="1:9" x14ac:dyDescent="0.25">
      <c r="A15" s="1"/>
      <c r="B15" s="52" t="s">
        <v>36</v>
      </c>
      <c r="C15" s="53"/>
      <c r="D15" s="53"/>
      <c r="E15" s="53"/>
      <c r="F15" s="54"/>
      <c r="G15" s="25">
        <v>1325626.0333589814</v>
      </c>
      <c r="H15" s="22" t="s">
        <v>3</v>
      </c>
      <c r="I15" s="1"/>
    </row>
    <row r="16" spans="1:9" x14ac:dyDescent="0.25">
      <c r="A16" s="1"/>
      <c r="B16" s="52" t="s">
        <v>37</v>
      </c>
      <c r="C16" s="53"/>
      <c r="D16" s="53"/>
      <c r="E16" s="53"/>
      <c r="F16" s="54"/>
      <c r="G16" s="25">
        <v>1239372.0928835382</v>
      </c>
      <c r="H16" s="22" t="s">
        <v>3</v>
      </c>
      <c r="I16" s="1"/>
    </row>
    <row r="17" spans="1:9" ht="26.25" customHeight="1" x14ac:dyDescent="0.25">
      <c r="A17" s="1"/>
      <c r="B17" s="55" t="s">
        <v>76</v>
      </c>
      <c r="C17" s="56"/>
      <c r="D17" s="56"/>
      <c r="E17" s="56"/>
      <c r="F17" s="57"/>
      <c r="G17" s="39">
        <f>SUM(G15:G16)</f>
        <v>2564998.1262425194</v>
      </c>
      <c r="H17" s="40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5" t="s">
        <v>27</v>
      </c>
      <c r="C20" s="46"/>
      <c r="D20" s="46"/>
      <c r="E20" s="46"/>
      <c r="F20" s="46"/>
      <c r="G20" s="46"/>
      <c r="H20" s="47"/>
      <c r="I20" s="1"/>
    </row>
    <row r="21" spans="1:9" x14ac:dyDescent="0.25">
      <c r="A21" s="1"/>
      <c r="B21" s="52" t="s">
        <v>77</v>
      </c>
      <c r="C21" s="53"/>
      <c r="D21" s="53"/>
      <c r="E21" s="53"/>
      <c r="F21" s="54"/>
      <c r="G21" s="11">
        <f>G15-G9</f>
        <v>0</v>
      </c>
      <c r="H21" s="22" t="s">
        <v>3</v>
      </c>
      <c r="I21" s="1"/>
    </row>
    <row r="22" spans="1:9" x14ac:dyDescent="0.25">
      <c r="A22" s="1"/>
      <c r="B22" s="52" t="s">
        <v>78</v>
      </c>
      <c r="C22" s="53"/>
      <c r="D22" s="53"/>
      <c r="E22" s="53"/>
      <c r="F22" s="54"/>
      <c r="G22" s="11">
        <f>G16-G10</f>
        <v>-38278.662473999895</v>
      </c>
      <c r="H22" s="22" t="s">
        <v>3</v>
      </c>
      <c r="I22" s="1"/>
    </row>
    <row r="23" spans="1:9" ht="15" customHeight="1" x14ac:dyDescent="0.25">
      <c r="A23" s="1"/>
      <c r="B23" s="55" t="s">
        <v>140</v>
      </c>
      <c r="C23" s="56"/>
      <c r="D23" s="56"/>
      <c r="E23" s="56"/>
      <c r="F23" s="57"/>
      <c r="G23" s="20">
        <f>SUM(G21:G22)</f>
        <v>-38278.662473999895</v>
      </c>
      <c r="H23" s="21" t="s">
        <v>3</v>
      </c>
      <c r="I23" s="1"/>
    </row>
    <row r="24" spans="1:9" ht="15" customHeight="1" x14ac:dyDescent="0.25">
      <c r="A24" s="1"/>
      <c r="B24" s="55" t="s">
        <v>141</v>
      </c>
      <c r="C24" s="56"/>
      <c r="D24" s="56"/>
      <c r="E24" s="56"/>
      <c r="F24" s="57"/>
      <c r="G24" s="20">
        <f>G23*(1+Prisudvikling2019)^3</f>
        <v>-40252.373731591812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3" t="s">
        <v>112</v>
      </c>
      <c r="C26" s="63"/>
      <c r="D26" s="63"/>
      <c r="E26" s="63"/>
      <c r="F26" s="63"/>
      <c r="G26" s="63"/>
      <c r="H26" s="63"/>
      <c r="I26" s="1"/>
    </row>
    <row r="27" spans="1:9" ht="26.25" x14ac:dyDescent="0.25">
      <c r="A27" s="1"/>
      <c r="B27" s="63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134</v>
      </c>
      <c r="C3" s="93"/>
      <c r="D3" s="93"/>
      <c r="E3" s="93"/>
      <c r="F3" s="93"/>
      <c r="G3" s="1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82</v>
      </c>
      <c r="C8" s="46"/>
      <c r="D8" s="46"/>
      <c r="E8" s="46"/>
      <c r="F8" s="47"/>
      <c r="G8" s="1"/>
      <c r="H8" s="1"/>
    </row>
    <row r="9" spans="1:8" ht="15" customHeight="1" x14ac:dyDescent="0.25">
      <c r="A9" s="1"/>
      <c r="B9" s="32" t="s">
        <v>109</v>
      </c>
      <c r="C9" s="33"/>
      <c r="D9" s="41"/>
      <c r="E9" s="18" t="s">
        <v>57</v>
      </c>
      <c r="F9" s="18"/>
      <c r="G9" s="1"/>
      <c r="H9" s="1"/>
    </row>
    <row r="10" spans="1:8" x14ac:dyDescent="0.25">
      <c r="A10" s="1"/>
      <c r="B10" s="71" t="s">
        <v>150</v>
      </c>
      <c r="C10" s="58"/>
      <c r="D10" s="59"/>
      <c r="E10" s="25">
        <v>1734020</v>
      </c>
      <c r="F10" s="22" t="s">
        <v>3</v>
      </c>
      <c r="G10" s="1"/>
      <c r="H10" s="1"/>
    </row>
    <row r="11" spans="1:8" x14ac:dyDescent="0.25">
      <c r="A11" s="1"/>
      <c r="B11" s="71" t="s">
        <v>151</v>
      </c>
      <c r="C11" s="58"/>
      <c r="D11" s="59"/>
      <c r="E11" s="25">
        <v>3829</v>
      </c>
      <c r="F11" s="22" t="s">
        <v>3</v>
      </c>
      <c r="G11" s="1"/>
      <c r="H11" s="1"/>
    </row>
    <row r="12" spans="1:8" ht="26.25" x14ac:dyDescent="0.25">
      <c r="A12" s="1"/>
      <c r="B12" s="71" t="s">
        <v>152</v>
      </c>
      <c r="C12" s="58"/>
      <c r="D12" s="59"/>
      <c r="E12" s="25">
        <v>1051141</v>
      </c>
      <c r="F12" s="22" t="s">
        <v>3</v>
      </c>
      <c r="G12" s="1"/>
      <c r="H12" s="1"/>
    </row>
    <row r="13" spans="1:8" x14ac:dyDescent="0.25">
      <c r="A13" s="1"/>
      <c r="B13" s="45" t="s">
        <v>137</v>
      </c>
      <c r="C13" s="46"/>
      <c r="D13" s="47"/>
      <c r="E13" s="20">
        <f>SUM(E10:E12)</f>
        <v>2788990</v>
      </c>
      <c r="F13" s="21" t="s">
        <v>3</v>
      </c>
      <c r="G13" s="1"/>
      <c r="H13" s="1"/>
    </row>
    <row r="14" spans="1:8" x14ac:dyDescent="0.25">
      <c r="A14" s="1"/>
      <c r="B14" s="45" t="s">
        <v>138</v>
      </c>
      <c r="C14" s="46"/>
      <c r="D14" s="47"/>
      <c r="E14" s="20">
        <f>E13*(1+Prisudvikling2019)^2</f>
        <v>2884054.4254338993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129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92098.91333333333</v>
      </c>
      <c r="F9" s="22" t="s">
        <v>3</v>
      </c>
      <c r="G9" s="19"/>
      <c r="H9" s="30"/>
      <c r="I9" s="1"/>
    </row>
    <row r="10" spans="1:9" x14ac:dyDescent="0.25">
      <c r="A10" s="1"/>
      <c r="B10" s="102" t="s">
        <v>116</v>
      </c>
      <c r="C10" s="103"/>
      <c r="D10" s="104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102" t="s">
        <v>126</v>
      </c>
      <c r="C11" s="103"/>
      <c r="D11" s="104"/>
      <c r="E11" s="11">
        <f>E9/E10</f>
        <v>23024.728333333333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23024.728333333333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25051.972248250917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-192571.61509917956</v>
      </c>
      <c r="F18" s="22" t="s">
        <v>3</v>
      </c>
      <c r="G18" s="14"/>
      <c r="H18" s="31"/>
      <c r="I18" s="1"/>
    </row>
    <row r="19" spans="1:9" x14ac:dyDescent="0.25">
      <c r="A19" s="1"/>
      <c r="B19" s="102" t="s">
        <v>116</v>
      </c>
      <c r="C19" s="103"/>
      <c r="D19" s="104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102" t="s">
        <v>127</v>
      </c>
      <c r="C20" s="103"/>
      <c r="D20" s="104"/>
      <c r="E20" s="11">
        <f>E18/E19</f>
        <v>-48142.90377479489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-48142.90377479489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-52381.712038283586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2018-08-10T11:22:12Z</dcterms:modified>
</cp:coreProperties>
</file>