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<sst xmlns="http://schemas.openxmlformats.org/spreadsheetml/2006/main" count="358" uniqueCount="158">
  <si>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</si>
  <si>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</si>
  <si>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</si>
  <si>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</si>
  <si>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</si>
  <si>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</si>
  <si>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</si>
  <si>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</si>
  <si>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</si>
  <si>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</si>
  <si>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</si>
  <si>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</si>
  <si>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</si>
  <si>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</si>
  <si>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</si>
  <si>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</si>
  <si>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</si>
  <si>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</si>
  <si>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</si>
  <si>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</si>
  <si>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</si>
  <si>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</si>
  <si>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</si>
  <si>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</si>
  <si>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</si>
  <si>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</si>
  <si>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</si>
  <si>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</si>
  <si>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</si>
  <si>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</si>
  <si>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</si>
  <si>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</si>
  <si>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</si>
  <si>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</si>
  <si>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</si>
  <si>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</si>
  <si>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</si>
  <si>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</si>
  <si>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</si>
  <si>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</si>
  <si>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</si>
  <si>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</si>
  <si>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</si>
  <si>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</si>
  <si>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</si>
  <si>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</si>
  <si>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</si>
  <si>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</si>
  <si>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</si>
  <si>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</si>
  <si>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</si>
  <si>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</si>
  <si>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</si>
  <si>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</si>
  <si>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</si>
  <si>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</si>
  <si>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</si>
  <si>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</si>
  <si>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</si>
  <si>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</si>
  <si>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</si>
  <si>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</si>
  <si>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</si>
  <si>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</si>
  <si>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</si>
  <si>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</si>
  <si>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</si>
  <si>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</si>
  <si>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</si>
  <si>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</si>
  <si>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</si>
  <si>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</si>
  <si>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</si>
  <si>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</si>
  <si>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</si>
  <si>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</si>
  <si>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</si>
  <si>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</si>
  <si>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</si>
  <si>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</si>
  <si>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</si>
  <si>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</si>
  <si>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</si>
  <si>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</si>
  <si>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</si>
  <si>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</si>
  <si>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</si>
  <si>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</si>
  <si>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</si>
  <si>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</si>
  <si>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</si>
  <si>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</si>
  <si>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</si>
  <si>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</si>
  <si>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</si>
  <si>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</si>
  <si>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</si>
  <si>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</si>
  <si>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</si>
  <si>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</si>
  <si>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</si>
  <si>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</si>
  <si>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</si>
  <si>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</si>
  <si>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</si>
  <si>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</si>
  <si>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</si>
  <si>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</si>
  <si>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</si>
  <si>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</si>
  <si>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</si>
  <si>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</si>
  <si>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</si>
  <si>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</si>
  <si>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</si>
  <si>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</si>
  <si>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</si>
  <si>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</si>
  <si>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</si>
  <si>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</si>
  <si>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</si>
  <si>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</si>
  <si>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</si>
  <si>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</si>
  <si>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</si>
  <si>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</si>
  <si>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</si>
  <si>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</si>
  <si>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</si>
  <si>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</si>
  <si>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</si>
  <si>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</si>
  <si>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</si>
  <si>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</si>
  <si>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</si>
  <si>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</si>
  <si>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</si>
  <si>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</si>
  <si>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</si>
  <si>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</si>
  <si>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</si>
  <si>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</si>
  <si>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</si>
  <si>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</si>
  <si>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</si>
  <si>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</si>
  <si>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</si>
  <si>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</si>
  <si>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</si>
  <si>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</si>
  <si>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Ingen anlægsprojekter</t>
  </si>
  <si>
    <t>Afgift for ledingsført vand</t>
  </si>
  <si>
    <t>Afgift til Forsyningsekretariatet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</si>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</sst>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8" t="s">
        <v>4</v>
      </c>
      <c r="E6" s="78"/>
      <c r="F6" s="78"/>
      <c r="G6" s="78"/>
      <c r="H6" s="3"/>
      <c r="I6" s="1"/>
    </row>
    <row r="7" spans="1:9" ht="15" customHeight="1" x14ac:dyDescent="0.25">
      <c r="A7" s="1"/>
      <c r="B7" s="1"/>
      <c r="C7" s="3"/>
      <c r="D7" s="78"/>
      <c r="E7" s="78"/>
      <c r="F7" s="78"/>
      <c r="G7" s="78"/>
      <c r="H7" s="3"/>
      <c r="I7" s="1"/>
    </row>
    <row r="8" spans="1:9" ht="15.75" x14ac:dyDescent="0.25">
      <c r="A8" s="1"/>
      <c r="B8" s="1"/>
      <c r="C8" s="4"/>
      <c r="D8" s="83" t="s">
        <v>104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5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97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95</v>
      </c>
      <c r="D15" s="75" t="s">
        <v>98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96</v>
      </c>
      <c r="D16" s="75" t="s">
        <v>133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84" t="s">
        <v>99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8</v>
      </c>
      <c r="D18" s="84" t="s">
        <v>101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9</v>
      </c>
      <c r="D19" s="84" t="s">
        <v>100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10</v>
      </c>
      <c r="D20" s="87" t="s">
        <v>130</v>
      </c>
      <c r="E20" s="88"/>
      <c r="F20" s="88"/>
      <c r="G20" s="89"/>
      <c r="H20" s="1"/>
      <c r="I20" s="1"/>
    </row>
    <row r="21" spans="1:9" x14ac:dyDescent="0.25">
      <c r="A21" s="1"/>
      <c r="B21" s="1"/>
      <c r="C21" s="6" t="s">
        <v>11</v>
      </c>
      <c r="D21" s="79" t="s">
        <v>102</v>
      </c>
      <c r="E21" s="80"/>
      <c r="F21" s="80"/>
      <c r="G21" s="81"/>
      <c r="H21" s="1"/>
      <c r="I21" s="1"/>
    </row>
    <row r="22" spans="1:9" x14ac:dyDescent="0.25">
      <c r="A22" s="1"/>
      <c r="B22" s="1"/>
      <c r="C22" s="6" t="s">
        <v>12</v>
      </c>
      <c r="D22" s="79" t="s">
        <v>131</v>
      </c>
      <c r="E22" s="80"/>
      <c r="F22" s="80"/>
      <c r="G22" s="81"/>
      <c r="H22" s="1"/>
      <c r="I22" s="1"/>
    </row>
    <row r="23" spans="1:9" x14ac:dyDescent="0.25">
      <c r="A23" s="1"/>
      <c r="B23" s="1"/>
      <c r="C23" s="6" t="s">
        <v>13</v>
      </c>
      <c r="D23" s="79" t="s">
        <v>105</v>
      </c>
      <c r="E23" s="80"/>
      <c r="F23" s="80"/>
      <c r="G23" s="81"/>
      <c r="H23" s="1"/>
      <c r="I23" s="1"/>
    </row>
    <row r="24" spans="1:9" x14ac:dyDescent="0.25">
      <c r="A24" s="1"/>
      <c r="B24" s="1"/>
      <c r="C24" s="6" t="s">
        <v>25</v>
      </c>
      <c r="D24" s="72" t="s">
        <v>28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29</v>
      </c>
      <c r="D25" s="69" t="s">
        <v>103</v>
      </c>
      <c r="E25" s="70"/>
      <c r="F25" s="70"/>
      <c r="G25" s="71"/>
      <c r="H25" s="1"/>
      <c r="I25" s="1"/>
    </row>
    <row r="26" spans="1:9" x14ac:dyDescent="0.25">
      <c r="A26" s="1"/>
      <c r="B26" s="1"/>
      <c r="C26" s="6" t="s">
        <v>30</v>
      </c>
      <c r="D26" s="69" t="s">
        <v>66</v>
      </c>
      <c r="E26" s="70"/>
      <c r="F26" s="70"/>
      <c r="G26" s="71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-5002993</v>
      </c>
      <c r="H9" s="22" t="s">
        <v>3</v>
      </c>
      <c r="I9" s="1"/>
    </row>
    <row r="10" spans="1:9" x14ac:dyDescent="0.25">
      <c r="A10" s="1"/>
      <c r="B10" s="49" t="s">
        <v>56</v>
      </c>
      <c r="C10" s="50"/>
      <c r="D10" s="50"/>
      <c r="E10" s="50"/>
      <c r="F10" s="51"/>
      <c r="G10" s="25">
        <v>-4010282</v>
      </c>
      <c r="H10" s="22" t="s">
        <v>3</v>
      </c>
      <c r="I10" s="1"/>
    </row>
    <row r="11" spans="1:9" x14ac:dyDescent="0.25">
      <c r="A11" s="1"/>
      <c r="B11" s="57" t="s">
        <v>19</v>
      </c>
      <c r="C11" s="58"/>
      <c r="D11" s="58"/>
      <c r="E11" s="58"/>
      <c r="F11" s="59"/>
      <c r="G11" s="35">
        <f>G9-G10</f>
        <v>-992711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2</v>
      </c>
      <c r="H12" s="22" t="s">
        <v>43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-496355.5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113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106</v>
      </c>
      <c r="C9" s="97"/>
      <c r="D9" s="98"/>
      <c r="E9" s="25">
        <v>1648626.5463070823</v>
      </c>
      <c r="F9" s="22" t="s">
        <v>3</v>
      </c>
      <c r="G9" s="19"/>
      <c r="H9" s="30"/>
      <c r="I9" s="1"/>
    </row>
    <row r="10" spans="1:9" x14ac:dyDescent="0.25">
      <c r="A10" s="1"/>
      <c r="B10" s="96" t="s">
        <v>107</v>
      </c>
      <c r="C10" s="97"/>
      <c r="D10" s="98"/>
      <c r="E10" s="25">
        <v>2733420</v>
      </c>
      <c r="F10" s="22" t="s">
        <v>3</v>
      </c>
      <c r="G10" s="14"/>
      <c r="H10" s="31"/>
      <c r="I10" s="1"/>
    </row>
    <row r="11" spans="1:9" x14ac:dyDescent="0.25">
      <c r="A11" s="1"/>
      <c r="B11" s="96" t="s">
        <v>114</v>
      </c>
      <c r="C11" s="97"/>
      <c r="D11" s="98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108</v>
      </c>
      <c r="C12" s="103"/>
      <c r="D12" s="104"/>
      <c r="E12" s="17">
        <f>E9-(E10-E11)</f>
        <v>-1084793.4536929177</v>
      </c>
      <c r="F12" s="28" t="s">
        <v>3</v>
      </c>
      <c r="G12" s="17">
        <f>E12</f>
        <v>-1084793.4536929177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118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9" t="s">
        <v>115</v>
      </c>
      <c r="C18" s="100"/>
      <c r="D18" s="101"/>
      <c r="E18" s="11">
        <f>IF(E12&lt;0,E12,0)</f>
        <v>-1084793.4536929177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117</v>
      </c>
      <c r="C20" s="100"/>
      <c r="D20" s="101"/>
      <c r="E20" s="11">
        <f>E18/E19</f>
        <v>-271198.36342322943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119</v>
      </c>
      <c r="C21" s="94"/>
      <c r="D21" s="94"/>
      <c r="E21" s="94"/>
      <c r="F21" s="95"/>
      <c r="G21" s="20">
        <f>E20</f>
        <v>-271198.36342322943</v>
      </c>
      <c r="H21" s="21" t="s">
        <v>3</v>
      </c>
      <c r="I21" s="1"/>
    </row>
    <row r="22" spans="1:9" x14ac:dyDescent="0.25">
      <c r="A22" s="1"/>
      <c r="B22" s="93" t="s">
        <v>120</v>
      </c>
      <c r="C22" s="94"/>
      <c r="D22" s="94"/>
      <c r="E22" s="94"/>
      <c r="F22" s="95"/>
      <c r="G22" s="20">
        <f>G21*(1+Prisudvikling2019)^4</f>
        <v>-290001.3727913925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5703125" style="2" customWidth="1"/>
    <col min="3" max="3" width="10" style="2" customWidth="1"/>
    <col min="4" max="4" width="1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110</v>
      </c>
      <c r="E9" s="18" t="s">
        <v>2</v>
      </c>
      <c r="F9" s="18" t="s">
        <v>89</v>
      </c>
      <c r="G9" s="18" t="s">
        <v>90</v>
      </c>
      <c r="H9" s="40"/>
      <c r="I9" s="1"/>
    </row>
    <row r="10" spans="1:9" ht="15" customHeight="1" x14ac:dyDescent="0.25">
      <c r="A10" s="1"/>
      <c r="B10" s="34" t="s">
        <v>150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94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45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111</v>
      </c>
      <c r="G9" s="40"/>
      <c r="H9" s="1"/>
    </row>
    <row r="10" spans="1:8" x14ac:dyDescent="0.25">
      <c r="A10" s="1"/>
      <c r="B10" s="62" t="s">
        <v>143</v>
      </c>
      <c r="C10" s="63"/>
      <c r="D10" s="64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147</v>
      </c>
      <c r="C11" s="44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2" t="s">
        <v>148</v>
      </c>
      <c r="C12" s="44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40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41</v>
      </c>
      <c r="C9" s="32" t="s">
        <v>20</v>
      </c>
      <c r="D9" s="40"/>
      <c r="E9" s="32" t="s">
        <v>111</v>
      </c>
      <c r="F9" s="40"/>
      <c r="G9" s="1"/>
    </row>
    <row r="10" spans="1:7" x14ac:dyDescent="0.25">
      <c r="A10" s="1"/>
      <c r="B10" s="27" t="s">
        <v>156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145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146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53</v>
      </c>
      <c r="C9" s="50"/>
      <c r="D9" s="50"/>
      <c r="E9" s="51"/>
      <c r="F9" s="65">
        <v>1.2699999999999999E-2</v>
      </c>
      <c r="G9" s="66"/>
      <c r="H9" s="1"/>
    </row>
    <row r="10" spans="1:8" x14ac:dyDescent="0.25">
      <c r="A10" s="1"/>
      <c r="B10" s="49" t="s">
        <v>54</v>
      </c>
      <c r="C10" s="50"/>
      <c r="D10" s="50"/>
      <c r="E10" s="51"/>
      <c r="F10" s="65">
        <v>1.7500000000000002E-2</v>
      </c>
      <c r="G10" s="66"/>
      <c r="H10" s="1"/>
    </row>
    <row r="11" spans="1:8" x14ac:dyDescent="0.25">
      <c r="A11" s="1"/>
      <c r="B11" s="49" t="s">
        <v>55</v>
      </c>
      <c r="C11" s="50"/>
      <c r="D11" s="50"/>
      <c r="E11" s="51"/>
      <c r="F11" s="65">
        <v>1.6899999999999998E-2</v>
      </c>
      <c r="G11" s="66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5">
        <v>1.7000000000000001E-2</v>
      </c>
      <c r="G16" s="66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60</v>
      </c>
      <c r="C9" s="7">
        <f>'Fane 3. Omkostninger i ØR2018'!G13</f>
        <v>1670204.2792823839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50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51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42</v>
      </c>
      <c r="C13" s="11">
        <f>(C9-C10)*Prisudvikling2017+C10*Prisudvikling2018+SUM(C11:C12)*Prisudvikling2019</f>
        <v>21211.594346886275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-28754.069851697594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46</v>
      </c>
      <c r="C15" s="17">
        <f>SUM(C9,C11:C14)</f>
        <v>1662661.8037775725</v>
      </c>
      <c r="D15" s="18" t="s">
        <v>3</v>
      </c>
      <c r="E15" s="17">
        <f>C15</f>
        <v>1662661.8037775725</v>
      </c>
      <c r="F15" s="18" t="s">
        <v>3</v>
      </c>
      <c r="G15" s="1"/>
    </row>
    <row r="16" spans="1:7" x14ac:dyDescent="0.25">
      <c r="A16" s="1"/>
      <c r="B16" s="42" t="s">
        <v>44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154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omk.'!E14</f>
        <v>1819803.5041045896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1819803.5041045896</v>
      </c>
      <c r="D23" s="18" t="s">
        <v>3</v>
      </c>
      <c r="E23" s="17">
        <f>C23</f>
        <v>1819803.5041045896</v>
      </c>
      <c r="F23" s="18" t="s">
        <v>3</v>
      </c>
      <c r="G23" s="1"/>
    </row>
    <row r="24" spans="1:7" ht="15" customHeight="1" x14ac:dyDescent="0.25">
      <c r="A24" s="1"/>
      <c r="B24" s="42" t="s">
        <v>88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62</v>
      </c>
      <c r="C25" s="6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63</v>
      </c>
      <c r="C26" s="67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64</v>
      </c>
      <c r="C27" s="67">
        <v>8004.6539656744571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8004.6539656744571</v>
      </c>
      <c r="D28" s="18" t="s">
        <v>3</v>
      </c>
      <c r="E28" s="17">
        <f>C28</f>
        <v>8004.6539656744571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-496355.5</v>
      </c>
      <c r="D30" s="18" t="s">
        <v>3</v>
      </c>
      <c r="E30" s="17">
        <f>C30</f>
        <v>-496355.5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2994114.4618478362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67</v>
      </c>
      <c r="C9" s="7">
        <f>'Fane 2.1. Økonomisk ramme 2019'!E15</f>
        <v>1662661.8037775725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50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68</v>
      </c>
      <c r="C11" s="7">
        <f>SUM('Fane 2.1. Økonomisk ramme 2019'!C11:C12)*(1+Prisudvikling2019)*(1-GenereltKrav)</f>
        <v>0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42</v>
      </c>
      <c r="C12" s="11">
        <f>(C9-C10-C11)*Prisudvikling2017+C10*Prisudvikling2018+C11*Prisudvikling2019</f>
        <v>21115.804907975169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-28624.219347654314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46</v>
      </c>
      <c r="C14" s="17">
        <f>SUM(C9,C12:C13)</f>
        <v>1655153.3893378933</v>
      </c>
      <c r="D14" s="18" t="s">
        <v>3</v>
      </c>
      <c r="E14" s="17">
        <f>C14</f>
        <v>1655153.3893378933</v>
      </c>
      <c r="F14" s="18" t="s">
        <v>3</v>
      </c>
      <c r="G14" s="1"/>
    </row>
    <row r="15" spans="1:7" ht="15" customHeight="1" x14ac:dyDescent="0.25">
      <c r="A15" s="1"/>
      <c r="B15" s="42" t="s">
        <v>44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154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omk.'!E14*(1+Prisudvikling2019)</f>
        <v>1850558.183323957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1850558.183323957</v>
      </c>
      <c r="D22" s="18" t="s">
        <v>3</v>
      </c>
      <c r="E22" s="17">
        <f>C22</f>
        <v>1850558.183323957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-496355.5</v>
      </c>
      <c r="D24" s="18" t="s">
        <v>3</v>
      </c>
      <c r="E24" s="17">
        <f>C24</f>
        <v>-496355.5</v>
      </c>
      <c r="F24" s="18" t="s">
        <v>3</v>
      </c>
      <c r="G24" s="1"/>
    </row>
    <row r="25" spans="1:7" x14ac:dyDescent="0.25">
      <c r="A25" s="1"/>
      <c r="B25" s="42" t="s">
        <v>69</v>
      </c>
      <c r="C25" s="43"/>
      <c r="D25" s="44"/>
      <c r="E25" s="20">
        <f>SUM(E14,E18,E22,E24)</f>
        <v>3009356.0726618506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70</v>
      </c>
      <c r="C9" s="7">
        <f>'Fane 2.2. Økonomisk ramme 2020'!E14</f>
        <v>1655153.3893378933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-40698.367856984471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42</v>
      </c>
      <c r="C11" s="11">
        <f>SUM(C9:C10)*Prisudvikling2019</f>
        <v>27284.289863027356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-27909.568292846918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46</v>
      </c>
      <c r="C13" s="17">
        <f>SUM(C9:C12)</f>
        <v>1613829.7430510893</v>
      </c>
      <c r="D13" s="18" t="s">
        <v>3</v>
      </c>
      <c r="E13" s="17">
        <f>C13</f>
        <v>1613829.7430510893</v>
      </c>
      <c r="F13" s="18" t="s">
        <v>3</v>
      </c>
      <c r="G13" s="1"/>
    </row>
    <row r="14" spans="1:7" x14ac:dyDescent="0.25">
      <c r="A14" s="1"/>
      <c r="B14" s="42" t="s">
        <v>44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154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omk.'!E14*(1+Prisudvikling2019)^2</f>
        <v>1881832.6166221316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1881832.6166221316</v>
      </c>
      <c r="D21" s="18" t="s">
        <v>3</v>
      </c>
      <c r="E21" s="17">
        <f>C21</f>
        <v>1881832.6166221316</v>
      </c>
      <c r="F21" s="18" t="s">
        <v>3</v>
      </c>
      <c r="G21" s="1"/>
    </row>
    <row r="22" spans="1:7" x14ac:dyDescent="0.25">
      <c r="A22" s="1"/>
      <c r="B22" s="42" t="s">
        <v>125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-11295.669522800306</v>
      </c>
      <c r="D23" s="18" t="s">
        <v>3</v>
      </c>
      <c r="E23" s="17">
        <f>C23</f>
        <v>-11295.669522800306</v>
      </c>
      <c r="F23" s="18" t="s">
        <v>3</v>
      </c>
      <c r="G23" s="1"/>
    </row>
    <row r="24" spans="1:7" x14ac:dyDescent="0.25">
      <c r="A24" s="1"/>
      <c r="B24" s="42" t="s">
        <v>122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123</v>
      </c>
      <c r="C25" s="11">
        <f>'Fane 6. Korrektion prisloft 16'!G22</f>
        <v>-344274.21392323333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121</v>
      </c>
      <c r="C26" s="11">
        <f>'Fane 8. Kontrol af ØR2017'!G22</f>
        <v>-290001.3727913925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124</v>
      </c>
      <c r="C27" s="61">
        <f>SUM(C25:C26)</f>
        <v>-634275.58671462582</v>
      </c>
      <c r="D27" s="40" t="s">
        <v>3</v>
      </c>
      <c r="E27" s="17">
        <f>C27</f>
        <v>-634275.58671462582</v>
      </c>
      <c r="F27" s="18" t="s">
        <v>3</v>
      </c>
      <c r="G27" s="1"/>
    </row>
    <row r="28" spans="1:7" x14ac:dyDescent="0.25">
      <c r="A28" s="1"/>
      <c r="B28" s="42" t="s">
        <v>85</v>
      </c>
      <c r="C28" s="43"/>
      <c r="D28" s="44"/>
      <c r="E28" s="20">
        <f>SUM(E13,E17,E21,E23,E27)</f>
        <v>2850091.1034357944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80</v>
      </c>
      <c r="C9" s="7">
        <f>'Fane 2.3. Økonomisk ramme 2021'!E13</f>
        <v>1613829.7430510893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42</v>
      </c>
      <c r="C10" s="11">
        <f>C9*Prisudvikling2019</f>
        <v>27273.722657563409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-27898.7589170471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46</v>
      </c>
      <c r="C12" s="17">
        <f>SUM(C9:C11)</f>
        <v>1613204.7067916056</v>
      </c>
      <c r="D12" s="18" t="s">
        <v>3</v>
      </c>
      <c r="E12" s="17">
        <f>C12</f>
        <v>1613204.7067916056</v>
      </c>
      <c r="F12" s="18" t="s">
        <v>3</v>
      </c>
      <c r="G12" s="1"/>
    </row>
    <row r="13" spans="1:7" x14ac:dyDescent="0.25">
      <c r="A13" s="1"/>
      <c r="B13" s="42" t="s">
        <v>44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154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omk.'!E14*(1+Prisudvikling2019)^3</f>
        <v>1913635.5878430454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1913635.5878430454</v>
      </c>
      <c r="D20" s="18" t="s">
        <v>3</v>
      </c>
      <c r="E20" s="17">
        <f>C20</f>
        <v>1913635.5878430454</v>
      </c>
      <c r="F20" s="18" t="s">
        <v>3</v>
      </c>
      <c r="G20" s="1"/>
    </row>
    <row r="21" spans="1:7" x14ac:dyDescent="0.25">
      <c r="A21" s="1"/>
      <c r="B21" s="42" t="s">
        <v>125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-11486.56633773563</v>
      </c>
      <c r="D22" s="18" t="s">
        <v>3</v>
      </c>
      <c r="E22" s="17">
        <f>C22</f>
        <v>-11486.56633773563</v>
      </c>
      <c r="F22" s="18" t="s">
        <v>3</v>
      </c>
      <c r="G22" s="1"/>
    </row>
    <row r="23" spans="1:7" ht="15" customHeight="1" x14ac:dyDescent="0.25">
      <c r="A23" s="1"/>
      <c r="B23" s="42" t="s">
        <v>122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123</v>
      </c>
      <c r="C24" s="11">
        <f>'Fane 2.3. Økonomisk ramme 2021'!C25*(1+Prisudvikling2019)</f>
        <v>-350092.44813853595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121</v>
      </c>
      <c r="C25" s="11">
        <f>'Fane 2.3. Økonomisk ramme 2021'!C26*(1+Prisudvikling2019)</f>
        <v>-294902.395991567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157</v>
      </c>
      <c r="C26" s="61">
        <f>SUM(C24:C25)</f>
        <v>-644994.84413010301</v>
      </c>
      <c r="D26" s="40" t="s">
        <v>3</v>
      </c>
      <c r="E26" s="17">
        <f>C26</f>
        <v>-644994.84413010301</v>
      </c>
      <c r="F26" s="18" t="s">
        <v>3</v>
      </c>
      <c r="G26" s="1"/>
    </row>
    <row r="27" spans="1:7" x14ac:dyDescent="0.25">
      <c r="A27" s="1"/>
      <c r="B27" s="42" t="s">
        <v>79</v>
      </c>
      <c r="C27" s="43"/>
      <c r="D27" s="44"/>
      <c r="E27" s="20">
        <f>SUM(E12,E16,E20,E22,E26)</f>
        <v>2870358.8841668121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60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3491600.0984116113</v>
      </c>
      <c r="H9" s="22" t="s">
        <v>3</v>
      </c>
      <c r="I9" s="1"/>
    </row>
    <row r="10" spans="1:9" x14ac:dyDescent="0.25">
      <c r="A10" s="1"/>
      <c r="B10" s="48" t="s">
        <v>61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58</v>
      </c>
      <c r="C11" s="50"/>
      <c r="D11" s="50"/>
      <c r="E11" s="50"/>
      <c r="F11" s="51"/>
      <c r="G11" s="25">
        <v>1821395.8191292274</v>
      </c>
      <c r="H11" s="22" t="s">
        <v>3</v>
      </c>
      <c r="I11" s="1"/>
    </row>
    <row r="12" spans="1:9" x14ac:dyDescent="0.25">
      <c r="A12" s="1"/>
      <c r="B12" s="48" t="s">
        <v>59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81</v>
      </c>
      <c r="C13" s="53"/>
      <c r="D13" s="53"/>
      <c r="E13" s="53"/>
      <c r="F13" s="54"/>
      <c r="G13" s="38">
        <f>G9-G11-G12</f>
        <v>1670204.2792823839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139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71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72</v>
      </c>
      <c r="C9" s="50"/>
      <c r="D9" s="50"/>
      <c r="E9" s="50"/>
      <c r="F9" s="51"/>
      <c r="G9" s="25">
        <v>716980.89035550074</v>
      </c>
      <c r="H9" s="22" t="s">
        <v>3</v>
      </c>
      <c r="I9" s="1"/>
    </row>
    <row r="10" spans="1:9" x14ac:dyDescent="0.25">
      <c r="A10" s="1"/>
      <c r="B10" s="49" t="s">
        <v>73</v>
      </c>
      <c r="C10" s="50"/>
      <c r="D10" s="50"/>
      <c r="E10" s="50"/>
      <c r="F10" s="51"/>
      <c r="G10" s="25">
        <v>989764.97069436999</v>
      </c>
      <c r="H10" s="22" t="s">
        <v>3</v>
      </c>
      <c r="I10" s="1"/>
    </row>
    <row r="11" spans="1:9" ht="26.25" customHeight="1" x14ac:dyDescent="0.25">
      <c r="A11" s="1"/>
      <c r="B11" s="52" t="s">
        <v>74</v>
      </c>
      <c r="C11" s="53"/>
      <c r="D11" s="53"/>
      <c r="E11" s="53"/>
      <c r="F11" s="54"/>
      <c r="G11" s="38">
        <f>SUM(G9:G10)</f>
        <v>1706745.8610498707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75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716980.89035550074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951062.18270903674</v>
      </c>
      <c r="H16" s="22" t="s">
        <v>3</v>
      </c>
      <c r="I16" s="1"/>
    </row>
    <row r="17" spans="1:9" ht="26.25" customHeight="1" x14ac:dyDescent="0.25">
      <c r="A17" s="1"/>
      <c r="B17" s="52" t="s">
        <v>76</v>
      </c>
      <c r="C17" s="53"/>
      <c r="D17" s="53"/>
      <c r="E17" s="53"/>
      <c r="F17" s="54"/>
      <c r="G17" s="38">
        <f>SUM(G15:G16)</f>
        <v>1668043.0730645375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77</v>
      </c>
      <c r="C21" s="50"/>
      <c r="D21" s="50"/>
      <c r="E21" s="50"/>
      <c r="F21" s="51"/>
      <c r="G21" s="11">
        <f>G15-G9</f>
        <v>0</v>
      </c>
      <c r="H21" s="22" t="s">
        <v>3</v>
      </c>
      <c r="I21" s="1"/>
    </row>
    <row r="22" spans="1:9" x14ac:dyDescent="0.25">
      <c r="A22" s="1"/>
      <c r="B22" s="49" t="s">
        <v>78</v>
      </c>
      <c r="C22" s="50"/>
      <c r="D22" s="50"/>
      <c r="E22" s="50"/>
      <c r="F22" s="51"/>
      <c r="G22" s="11">
        <f>G16-G10</f>
        <v>-38702.787985333242</v>
      </c>
      <c r="H22" s="22" t="s">
        <v>3</v>
      </c>
      <c r="I22" s="1"/>
    </row>
    <row r="23" spans="1:9" ht="15" customHeight="1" x14ac:dyDescent="0.25">
      <c r="A23" s="1"/>
      <c r="B23" s="52" t="s">
        <v>140</v>
      </c>
      <c r="C23" s="53"/>
      <c r="D23" s="53"/>
      <c r="E23" s="53"/>
      <c r="F23" s="54"/>
      <c r="G23" s="20">
        <f>SUM(G21:G22)</f>
        <v>-38702.787985333242</v>
      </c>
      <c r="H23" s="21" t="s">
        <v>3</v>
      </c>
      <c r="I23" s="1"/>
    </row>
    <row r="24" spans="1:9" ht="15" customHeight="1" x14ac:dyDescent="0.25">
      <c r="A24" s="1"/>
      <c r="B24" s="52" t="s">
        <v>141</v>
      </c>
      <c r="C24" s="53"/>
      <c r="D24" s="53"/>
      <c r="E24" s="53"/>
      <c r="F24" s="54"/>
      <c r="G24" s="20">
        <f>G23*(1+Prisudvikling2019)^3</f>
        <v>-40698.367856984471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0" t="s">
        <v>112</v>
      </c>
      <c r="C26" s="60"/>
      <c r="D26" s="60"/>
      <c r="E26" s="60"/>
      <c r="F26" s="60"/>
      <c r="G26" s="60"/>
      <c r="H26" s="60"/>
      <c r="I26" s="1"/>
    </row>
    <row r="27" spans="1:9" ht="26.25" x14ac:dyDescent="0.25">
      <c r="A27" s="1"/>
      <c r="B27" s="60" t="s">
        <v>155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134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82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109</v>
      </c>
      <c r="C9" s="33"/>
      <c r="D9" s="40"/>
      <c r="E9" s="18" t="s">
        <v>57</v>
      </c>
      <c r="F9" s="18"/>
      <c r="G9" s="1"/>
      <c r="H9" s="1"/>
    </row>
    <row r="10" spans="1:8" x14ac:dyDescent="0.25">
      <c r="A10" s="1"/>
      <c r="B10" s="68" t="s">
        <v>151</v>
      </c>
      <c r="C10" s="55"/>
      <c r="D10" s="56"/>
      <c r="E10" s="25">
        <v>1727769</v>
      </c>
      <c r="F10" s="22" t="s">
        <v>3</v>
      </c>
      <c r="G10" s="1"/>
      <c r="H10" s="1"/>
    </row>
    <row r="11" spans="1:8" x14ac:dyDescent="0.25">
      <c r="A11" s="1"/>
      <c r="B11" s="68" t="s">
        <v>152</v>
      </c>
      <c r="C11" s="55"/>
      <c r="D11" s="56"/>
      <c r="E11" s="25">
        <v>3855</v>
      </c>
      <c r="F11" s="22" t="s">
        <v>3</v>
      </c>
      <c r="G11" s="1"/>
      <c r="H11" s="1"/>
    </row>
    <row r="12" spans="1:8" x14ac:dyDescent="0.25">
      <c r="A12" s="1"/>
      <c r="B12" s="68" t="s">
        <v>153</v>
      </c>
      <c r="C12" s="55"/>
      <c r="D12" s="56"/>
      <c r="E12" s="25">
        <v>28195</v>
      </c>
      <c r="F12" s="22" t="s">
        <v>3</v>
      </c>
      <c r="G12" s="1"/>
      <c r="H12" s="1"/>
    </row>
    <row r="13" spans="1:8" x14ac:dyDescent="0.25">
      <c r="A13" s="1"/>
      <c r="B13" s="42" t="s">
        <v>137</v>
      </c>
      <c r="C13" s="43"/>
      <c r="D13" s="44"/>
      <c r="E13" s="20">
        <f>SUM(E10:E12)</f>
        <v>1759819</v>
      </c>
      <c r="F13" s="21" t="s">
        <v>3</v>
      </c>
      <c r="G13" s="1"/>
      <c r="H13" s="1"/>
    </row>
    <row r="14" spans="1:8" x14ac:dyDescent="0.25">
      <c r="A14" s="1"/>
      <c r="B14" s="42" t="s">
        <v>138</v>
      </c>
      <c r="C14" s="43"/>
      <c r="D14" s="44"/>
      <c r="E14" s="20">
        <f>E13*(1+Prisudvikling2019)^2</f>
        <v>1819803.5041045896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125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33</v>
      </c>
      <c r="C9" s="97"/>
      <c r="D9" s="98"/>
      <c r="E9" s="25">
        <v>-41526.426666666666</v>
      </c>
      <c r="F9" s="22" t="s">
        <v>3</v>
      </c>
      <c r="G9" s="19"/>
      <c r="H9" s="30"/>
      <c r="I9" s="1"/>
    </row>
    <row r="10" spans="1:9" x14ac:dyDescent="0.25">
      <c r="A10" s="1"/>
      <c r="B10" s="99" t="s">
        <v>116</v>
      </c>
      <c r="C10" s="100"/>
      <c r="D10" s="101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99" t="s">
        <v>126</v>
      </c>
      <c r="C11" s="100"/>
      <c r="D11" s="101"/>
      <c r="E11" s="11">
        <f>E9/E10</f>
        <v>-10381.606666666667</v>
      </c>
      <c r="F11" s="22" t="s">
        <v>3</v>
      </c>
      <c r="G11" s="14"/>
      <c r="H11" s="31"/>
      <c r="I11" s="1"/>
    </row>
    <row r="12" spans="1:9" x14ac:dyDescent="0.25">
      <c r="A12" s="1"/>
      <c r="B12" s="93" t="s">
        <v>132</v>
      </c>
      <c r="C12" s="94"/>
      <c r="D12" s="94"/>
      <c r="E12" s="94"/>
      <c r="F12" s="95"/>
      <c r="G12" s="20">
        <f>E11</f>
        <v>-10381.606666666667</v>
      </c>
      <c r="H12" s="21" t="s">
        <v>3</v>
      </c>
      <c r="I12" s="1"/>
    </row>
    <row r="13" spans="1:9" x14ac:dyDescent="0.25">
      <c r="A13" s="1"/>
      <c r="B13" s="93" t="s">
        <v>128</v>
      </c>
      <c r="C13" s="94"/>
      <c r="D13" s="94"/>
      <c r="E13" s="94"/>
      <c r="F13" s="95"/>
      <c r="G13" s="20">
        <f>G12*(1+Prisudvikling2018)*(1+Prisudvikling2019)^4</f>
        <v>-11295.669522800306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123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6" t="s">
        <v>123</v>
      </c>
      <c r="C18" s="97"/>
      <c r="D18" s="98"/>
      <c r="E18" s="25">
        <v>-1265660.0716628637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127</v>
      </c>
      <c r="C20" s="100"/>
      <c r="D20" s="101"/>
      <c r="E20" s="11">
        <f>E18/E19</f>
        <v>-316415.01791571593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132</v>
      </c>
      <c r="C21" s="94"/>
      <c r="D21" s="94"/>
      <c r="E21" s="94"/>
      <c r="F21" s="95"/>
      <c r="G21" s="20">
        <f>E20</f>
        <v>-316415.01791571593</v>
      </c>
      <c r="H21" s="21" t="s">
        <v>3</v>
      </c>
      <c r="I21" s="1"/>
    </row>
    <row r="22" spans="1:9" x14ac:dyDescent="0.25">
      <c r="A22" s="1"/>
      <c r="B22" s="93" t="s">
        <v>128</v>
      </c>
      <c r="C22" s="94"/>
      <c r="D22" s="94"/>
      <c r="E22" s="94"/>
      <c r="F22" s="95"/>
      <c r="G22" s="20">
        <f>G21*(1+Prisudvikling2018)*(1+Prisudvikling2019)^4</f>
        <v>-344274.21392323333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2018-08-10T11:23:57Z</dcterms:modified>
</cp:coreProperties>
</file>