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3" i="20" l="1"/>
  <c r="G11" i="7" l="1"/>
  <c r="E11" i="11" l="1"/>
  <c r="F10" i="20" s="1"/>
  <c r="F12" i="20" s="1"/>
  <c r="F13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<sst xmlns="http://schemas.openxmlformats.org/spreadsheetml/2006/main" count="365" uniqueCount="161">
  <si>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</si>
  <si>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</si>
  <si>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</si>
  <si>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</si>
  <si>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</si>
  <si>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</si>
  <si>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</si>
  <si>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</si>
  <si>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</si>
  <si>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</si>
  <si>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</si>
  <si>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</si>
  <si>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</si>
  <si>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</si>
  <si>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</si>
  <si>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</si>
  <si>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</si>
  <si>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</si>
  <si>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</si>
  <si>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</si>
  <si>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</si>
  <si>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</si>
  <si>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</si>
  <si>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</si>
  <si>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</si>
  <si>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</si>
  <si>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</si>
  <si>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</si>
  <si>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</si>
  <si>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</si>
  <si>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</si>
  <si>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</si>
  <si>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</si>
  <si>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</si>
  <si>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</si>
  <si>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</si>
  <si>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</si>
  <si>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</si>
  <si>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</si>
  <si>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</si>
  <si>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</si>
  <si>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</si>
  <si>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</si>
  <si>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</si>
  <si>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</si>
  <si>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</si>
  <si>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</si>
  <si>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</si>
  <si>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</si>
  <si>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</si>
  <si>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</si>
  <si>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</si>
  <si>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</si>
  <si>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</si>
  <si>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</si>
  <si>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</si>
  <si>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</si>
  <si>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</si>
  <si>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</si>
  <si>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</si>
  <si>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</si>
  <si>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</si>
  <si>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</si>
  <si>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</si>
  <si>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</si>
  <si>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</si>
  <si>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</si>
  <si>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</si>
  <si>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</si>
  <si>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</si>
  <si>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</si>
  <si>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</si>
  <si>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</si>
  <si>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</si>
  <si>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</si>
  <si>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</si>
  <si>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</si>
  <si>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</si>
  <si>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</si>
  <si>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</si>
  <si>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</si>
  <si>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</si>
  <si>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</si>
  <si>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</si>
  <si>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</si>
  <si>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</si>
  <si>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</si>
  <si>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</si>
  <si>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</si>
  <si>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</si>
  <si>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</si>
  <si>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</si>
  <si>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</si>
  <si>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</si>
  <si>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</si>
  <si>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</si>
  <si>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</si>
  <si>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</si>
  <si>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</si>
  <si>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</si>
  <si>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</si>
  <si>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</si>
  <si>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</si>
  <si>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</si>
  <si>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</si>
  <si>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</si>
  <si>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</si>
  <si>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</si>
  <si>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</si>
  <si>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</si>
  <si>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</si>
  <si>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</si>
  <si>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</si>
  <si>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</si>
  <si>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</si>
  <si>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</si>
  <si>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</si>
  <si>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</si>
  <si>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</si>
  <si>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</si>
  <si>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</si>
  <si>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</si>
  <si>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</si>
  <si>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</si>
  <si>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</si>
  <si>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</si>
  <si>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</si>
  <si>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</si>
  <si>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</si>
  <si>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</si>
  <si>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</si>
  <si>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</si>
  <si>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</si>
  <si>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</si>
  <si>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</si>
  <si>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</si>
  <si>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</si>
  <si>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</si>
  <si>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</si>
  <si>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</si>
  <si>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</si>
  <si>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</si>
  <si>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</si>
  <si>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</si>
  <si>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</si>
  <si>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</si>
  <si>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</si>
  <si>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</si>
  <si>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</si>
  <si>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</si>
  <si>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Udvidelse af forsyningsområdet</t>
  </si>
  <si>
    <t>Afgift for ledingsført vand</t>
  </si>
  <si>
    <t>Akkumuleret restskat</t>
  </si>
  <si>
    <t>Afgift til Forsyningsekretariatet</t>
  </si>
  <si>
    <t>Køb af ydelser og produkter fra andre vandselskaber reguleret af vandsektorloven</t>
  </si>
  <si>
    <t>Selskabsskatter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</si>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</sst>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8" fillId="9" borderId="1" xfId="0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104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4" t="s">
        <v>32</v>
      </c>
      <c r="E13" s="85"/>
      <c r="F13" s="85"/>
      <c r="G13" s="86"/>
      <c r="H13" s="1"/>
      <c r="I13" s="1"/>
    </row>
    <row r="14" spans="1:9" x14ac:dyDescent="0.25">
      <c r="A14" s="1"/>
      <c r="B14" s="1"/>
      <c r="C14" s="6" t="s">
        <v>31</v>
      </c>
      <c r="D14" s="84" t="s">
        <v>97</v>
      </c>
      <c r="E14" s="85"/>
      <c r="F14" s="85"/>
      <c r="G14" s="86"/>
      <c r="H14" s="1"/>
      <c r="I14" s="1"/>
    </row>
    <row r="15" spans="1:9" x14ac:dyDescent="0.25">
      <c r="A15" s="1"/>
      <c r="B15" s="1"/>
      <c r="C15" s="6" t="s">
        <v>95</v>
      </c>
      <c r="D15" s="84" t="s">
        <v>98</v>
      </c>
      <c r="E15" s="85"/>
      <c r="F15" s="85"/>
      <c r="G15" s="86"/>
      <c r="H15" s="1"/>
      <c r="I15" s="1"/>
    </row>
    <row r="16" spans="1:9" x14ac:dyDescent="0.25">
      <c r="A16" s="1"/>
      <c r="B16" s="1"/>
      <c r="C16" s="6" t="s">
        <v>96</v>
      </c>
      <c r="D16" s="84" t="s">
        <v>133</v>
      </c>
      <c r="E16" s="85"/>
      <c r="F16" s="85"/>
      <c r="G16" s="86"/>
      <c r="H16" s="1"/>
      <c r="I16" s="1"/>
    </row>
    <row r="17" spans="1:9" x14ac:dyDescent="0.25">
      <c r="A17" s="1"/>
      <c r="B17" s="1"/>
      <c r="C17" s="6" t="s">
        <v>7</v>
      </c>
      <c r="D17" s="78" t="s">
        <v>99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101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100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130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131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105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90" t="s">
        <v>28</v>
      </c>
      <c r="E24" s="91"/>
      <c r="F24" s="91"/>
      <c r="G24" s="92"/>
      <c r="H24" s="1"/>
      <c r="I24" s="1"/>
    </row>
    <row r="25" spans="1:9" x14ac:dyDescent="0.25">
      <c r="A25" s="1"/>
      <c r="B25" s="1"/>
      <c r="C25" s="6" t="s">
        <v>29</v>
      </c>
      <c r="D25" s="87" t="s">
        <v>103</v>
      </c>
      <c r="E25" s="88"/>
      <c r="F25" s="88"/>
      <c r="G25" s="89"/>
      <c r="H25" s="1"/>
      <c r="I25" s="1"/>
    </row>
    <row r="26" spans="1:9" x14ac:dyDescent="0.25">
      <c r="A26" s="1"/>
      <c r="B26" s="1"/>
      <c r="C26" s="6" t="s">
        <v>30</v>
      </c>
      <c r="D26" s="87" t="s">
        <v>66</v>
      </c>
      <c r="E26" s="88"/>
      <c r="F26" s="88"/>
      <c r="G26" s="89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135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22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17</v>
      </c>
      <c r="C9" s="53"/>
      <c r="D9" s="53"/>
      <c r="E9" s="53"/>
      <c r="F9" s="54"/>
      <c r="G9" s="25">
        <v>-14082397</v>
      </c>
      <c r="H9" s="22" t="s">
        <v>3</v>
      </c>
      <c r="I9" s="1"/>
    </row>
    <row r="10" spans="1:9" x14ac:dyDescent="0.25">
      <c r="A10" s="1"/>
      <c r="B10" s="52" t="s">
        <v>56</v>
      </c>
      <c r="C10" s="53"/>
      <c r="D10" s="53"/>
      <c r="E10" s="53"/>
      <c r="F10" s="54"/>
      <c r="G10" s="25">
        <v>-11376480</v>
      </c>
      <c r="H10" s="22" t="s">
        <v>3</v>
      </c>
      <c r="I10" s="1"/>
    </row>
    <row r="11" spans="1:9" x14ac:dyDescent="0.25">
      <c r="A11" s="1"/>
      <c r="B11" s="60" t="s">
        <v>19</v>
      </c>
      <c r="C11" s="61"/>
      <c r="D11" s="61"/>
      <c r="E11" s="61"/>
      <c r="F11" s="62"/>
      <c r="G11" s="36">
        <f>G9-G10</f>
        <v>-2705917</v>
      </c>
      <c r="H11" s="29" t="s">
        <v>3</v>
      </c>
      <c r="I11" s="1"/>
    </row>
    <row r="12" spans="1:9" x14ac:dyDescent="0.25">
      <c r="A12" s="1"/>
      <c r="B12" s="52" t="s">
        <v>18</v>
      </c>
      <c r="C12" s="53"/>
      <c r="D12" s="53"/>
      <c r="E12" s="53"/>
      <c r="F12" s="54"/>
      <c r="G12" s="25">
        <v>2</v>
      </c>
      <c r="H12" s="22" t="s">
        <v>43</v>
      </c>
      <c r="I12" s="1"/>
    </row>
    <row r="13" spans="1:9" x14ac:dyDescent="0.25">
      <c r="A13" s="1"/>
      <c r="B13" s="45" t="s">
        <v>16</v>
      </c>
      <c r="C13" s="46"/>
      <c r="D13" s="46"/>
      <c r="E13" s="46"/>
      <c r="F13" s="47"/>
      <c r="G13" s="20">
        <f>IF(G12 = 0,0,G11/G12)</f>
        <v>-1352958.5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136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113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106</v>
      </c>
      <c r="C9" s="103"/>
      <c r="D9" s="104"/>
      <c r="E9" s="25">
        <v>16586202.062000001</v>
      </c>
      <c r="F9" s="22" t="s">
        <v>3</v>
      </c>
      <c r="G9" s="19"/>
      <c r="H9" s="30"/>
      <c r="I9" s="1"/>
    </row>
    <row r="10" spans="1:9" x14ac:dyDescent="0.25">
      <c r="A10" s="1"/>
      <c r="B10" s="102" t="s">
        <v>107</v>
      </c>
      <c r="C10" s="103"/>
      <c r="D10" s="104"/>
      <c r="E10" s="25">
        <v>12801621</v>
      </c>
      <c r="F10" s="22" t="s">
        <v>3</v>
      </c>
      <c r="G10" s="14"/>
      <c r="H10" s="31"/>
      <c r="I10" s="1"/>
    </row>
    <row r="11" spans="1:9" x14ac:dyDescent="0.25">
      <c r="A11" s="1"/>
      <c r="B11" s="102" t="s">
        <v>114</v>
      </c>
      <c r="C11" s="103"/>
      <c r="D11" s="104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5" t="s">
        <v>108</v>
      </c>
      <c r="C12" s="106"/>
      <c r="D12" s="107"/>
      <c r="E12" s="17">
        <f>E9-(E10-E11)</f>
        <v>3784581.0620000008</v>
      </c>
      <c r="F12" s="28" t="s">
        <v>3</v>
      </c>
      <c r="G12" s="17">
        <f>E12</f>
        <v>3784581.0620000008</v>
      </c>
      <c r="H12" s="28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47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9" t="s">
        <v>118</v>
      </c>
      <c r="C17" s="100"/>
      <c r="D17" s="100"/>
      <c r="E17" s="100"/>
      <c r="F17" s="100"/>
      <c r="G17" s="100"/>
      <c r="H17" s="101"/>
      <c r="I17" s="1"/>
    </row>
    <row r="18" spans="1:9" x14ac:dyDescent="0.25">
      <c r="A18" s="1"/>
      <c r="B18" s="96" t="s">
        <v>115</v>
      </c>
      <c r="C18" s="97"/>
      <c r="D18" s="98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6" t="s">
        <v>116</v>
      </c>
      <c r="C19" s="97"/>
      <c r="D19" s="98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6" t="s">
        <v>117</v>
      </c>
      <c r="C20" s="97"/>
      <c r="D20" s="98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9" t="s">
        <v>119</v>
      </c>
      <c r="C21" s="100"/>
      <c r="D21" s="100"/>
      <c r="E21" s="100"/>
      <c r="F21" s="101"/>
      <c r="G21" s="20">
        <f>E20</f>
        <v>0</v>
      </c>
      <c r="H21" s="21" t="s">
        <v>3</v>
      </c>
      <c r="I21" s="1"/>
    </row>
    <row r="22" spans="1:9" x14ac:dyDescent="0.25">
      <c r="A22" s="1"/>
      <c r="B22" s="99" t="s">
        <v>120</v>
      </c>
      <c r="C22" s="100"/>
      <c r="D22" s="100"/>
      <c r="E22" s="100"/>
      <c r="F22" s="101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142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143</v>
      </c>
      <c r="C8" s="100"/>
      <c r="D8" s="100"/>
      <c r="E8" s="100"/>
      <c r="F8" s="100"/>
      <c r="G8" s="100"/>
      <c r="H8" s="101"/>
      <c r="I8" s="1"/>
    </row>
    <row r="9" spans="1:9" ht="39" customHeight="1" x14ac:dyDescent="0.25">
      <c r="A9" s="1"/>
      <c r="B9" s="44" t="s">
        <v>0</v>
      </c>
      <c r="C9" s="44" t="s">
        <v>1</v>
      </c>
      <c r="D9" s="44" t="s">
        <v>110</v>
      </c>
      <c r="E9" s="18" t="s">
        <v>2</v>
      </c>
      <c r="F9" s="18" t="s">
        <v>89</v>
      </c>
      <c r="G9" s="18" t="s">
        <v>90</v>
      </c>
      <c r="H9" s="41"/>
      <c r="I9" s="1"/>
    </row>
    <row r="10" spans="1:9" ht="26.25" x14ac:dyDescent="0.25">
      <c r="A10" s="1"/>
      <c r="B10" s="34" t="s">
        <v>156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9" t="s">
        <v>144</v>
      </c>
      <c r="C11" s="100"/>
      <c r="D11" s="10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94</v>
      </c>
      <c r="C3" s="93"/>
      <c r="D3" s="93"/>
      <c r="E3" s="93"/>
      <c r="F3" s="93"/>
      <c r="G3" s="93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9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45</v>
      </c>
      <c r="C8" s="46"/>
      <c r="D8" s="46"/>
      <c r="E8" s="46"/>
      <c r="F8" s="46"/>
      <c r="G8" s="47"/>
      <c r="H8" s="1"/>
    </row>
    <row r="9" spans="1:8" ht="15" customHeight="1" x14ac:dyDescent="0.25">
      <c r="A9" s="1"/>
      <c r="B9" s="32" t="s">
        <v>38</v>
      </c>
      <c r="C9" s="41"/>
      <c r="D9" s="32" t="s">
        <v>20</v>
      </c>
      <c r="E9" s="41"/>
      <c r="F9" s="32" t="s">
        <v>111</v>
      </c>
      <c r="G9" s="41"/>
      <c r="H9" s="1"/>
    </row>
    <row r="10" spans="1:8" x14ac:dyDescent="0.25">
      <c r="A10" s="1"/>
      <c r="B10" s="65" t="s">
        <v>143</v>
      </c>
      <c r="C10" s="66"/>
      <c r="D10" s="67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150</v>
      </c>
      <c r="C11" s="43"/>
      <c r="D11" s="35">
        <v>0</v>
      </c>
      <c r="E11" s="22" t="s">
        <v>3</v>
      </c>
      <c r="F11" s="25">
        <v>39490</v>
      </c>
      <c r="G11" s="22" t="s">
        <v>3</v>
      </c>
      <c r="H11" s="1"/>
    </row>
    <row r="12" spans="1:8" x14ac:dyDescent="0.25">
      <c r="A12" s="1"/>
      <c r="B12" s="45" t="s">
        <v>147</v>
      </c>
      <c r="C12" s="47"/>
      <c r="D12" s="20">
        <f>SUM(D10:D11)</f>
        <v>0</v>
      </c>
      <c r="E12" s="21" t="s">
        <v>3</v>
      </c>
      <c r="F12" s="20">
        <f>SUM(F10:F11)</f>
        <v>39490</v>
      </c>
      <c r="G12" s="21" t="s">
        <v>3</v>
      </c>
      <c r="H12" s="1"/>
    </row>
    <row r="13" spans="1:8" x14ac:dyDescent="0.25">
      <c r="A13" s="1"/>
      <c r="B13" s="45" t="s">
        <v>148</v>
      </c>
      <c r="C13" s="47"/>
      <c r="D13" s="20">
        <f>D12*(1+Prisudvikling2019)</f>
        <v>0</v>
      </c>
      <c r="E13" s="21" t="s">
        <v>3</v>
      </c>
      <c r="F13" s="20">
        <f>F12*(1+Prisudvikling2019)</f>
        <v>40157.380999999994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40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39</v>
      </c>
      <c r="C8" s="46"/>
      <c r="D8" s="46"/>
      <c r="E8" s="46"/>
      <c r="F8" s="47"/>
      <c r="G8" s="1"/>
    </row>
    <row r="9" spans="1:7" ht="15" customHeight="1" x14ac:dyDescent="0.25">
      <c r="A9" s="1"/>
      <c r="B9" s="32" t="s">
        <v>41</v>
      </c>
      <c r="C9" s="32" t="s">
        <v>20</v>
      </c>
      <c r="D9" s="41"/>
      <c r="E9" s="32" t="s">
        <v>111</v>
      </c>
      <c r="F9" s="41"/>
      <c r="G9" s="1"/>
    </row>
    <row r="10" spans="1:7" x14ac:dyDescent="0.25">
      <c r="A10" s="1"/>
      <c r="B10" s="27" t="s">
        <v>159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5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5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149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26</v>
      </c>
      <c r="C8" s="46"/>
      <c r="D8" s="46"/>
      <c r="E8" s="46"/>
      <c r="F8" s="47"/>
      <c r="G8" s="47"/>
      <c r="H8" s="1"/>
    </row>
    <row r="9" spans="1:8" x14ac:dyDescent="0.25">
      <c r="A9" s="1"/>
      <c r="B9" s="52" t="s">
        <v>53</v>
      </c>
      <c r="C9" s="53"/>
      <c r="D9" s="53"/>
      <c r="E9" s="54"/>
      <c r="F9" s="68">
        <v>1.2699999999999999E-2</v>
      </c>
      <c r="G9" s="69"/>
      <c r="H9" s="1"/>
    </row>
    <row r="10" spans="1:8" x14ac:dyDescent="0.25">
      <c r="A10" s="1"/>
      <c r="B10" s="52" t="s">
        <v>54</v>
      </c>
      <c r="C10" s="53"/>
      <c r="D10" s="53"/>
      <c r="E10" s="54"/>
      <c r="F10" s="68">
        <v>1.7500000000000002E-2</v>
      </c>
      <c r="G10" s="69"/>
      <c r="H10" s="1"/>
    </row>
    <row r="11" spans="1:8" x14ac:dyDescent="0.25">
      <c r="A11" s="1"/>
      <c r="B11" s="52" t="s">
        <v>55</v>
      </c>
      <c r="C11" s="53"/>
      <c r="D11" s="53"/>
      <c r="E11" s="54"/>
      <c r="F11" s="68">
        <v>1.6899999999999998E-2</v>
      </c>
      <c r="G11" s="69"/>
      <c r="H11" s="1"/>
    </row>
    <row r="12" spans="1:8" x14ac:dyDescent="0.25">
      <c r="A12" s="1"/>
      <c r="B12" s="45"/>
      <c r="C12" s="46"/>
      <c r="D12" s="46"/>
      <c r="E12" s="46"/>
      <c r="F12" s="47"/>
      <c r="G12" s="47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5" t="s">
        <v>14</v>
      </c>
      <c r="C15" s="46"/>
      <c r="D15" s="46"/>
      <c r="E15" s="46"/>
      <c r="F15" s="47"/>
      <c r="G15" s="47"/>
      <c r="H15" s="1"/>
    </row>
    <row r="16" spans="1:8" x14ac:dyDescent="0.25">
      <c r="A16" s="1"/>
      <c r="B16" s="52" t="s">
        <v>14</v>
      </c>
      <c r="C16" s="53"/>
      <c r="D16" s="53"/>
      <c r="E16" s="54"/>
      <c r="F16" s="68">
        <v>1.7000000000000001E-2</v>
      </c>
      <c r="G16" s="69"/>
      <c r="H16" s="1"/>
    </row>
    <row r="17" spans="1:8" x14ac:dyDescent="0.25">
      <c r="A17" s="1"/>
      <c r="B17" s="45"/>
      <c r="C17" s="46"/>
      <c r="D17" s="46"/>
      <c r="E17" s="46"/>
      <c r="F17" s="47"/>
      <c r="G17" s="47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29.25" customHeight="1" x14ac:dyDescent="0.25">
      <c r="A9" s="1"/>
      <c r="B9" s="48" t="s">
        <v>60</v>
      </c>
      <c r="C9" s="7">
        <f>'Fane 3. Omkostninger i ØR2018'!G13</f>
        <v>9926571.5966374166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51" t="s">
        <v>50</v>
      </c>
      <c r="C10" s="7">
        <f>'Fane 3. Omkostninger i ØR2018'!G10</f>
        <v>0</v>
      </c>
      <c r="D10" s="8"/>
      <c r="E10" s="37"/>
      <c r="F10" s="13"/>
      <c r="G10" s="1"/>
    </row>
    <row r="11" spans="1:7" x14ac:dyDescent="0.25">
      <c r="A11" s="1"/>
      <c r="B11" s="49" t="s">
        <v>51</v>
      </c>
      <c r="C11" s="11">
        <f>SUM('Fane 10. Tillæg'!D13,'Fane 10. Tillæg'!F13)</f>
        <v>40157.380999999994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42</v>
      </c>
      <c r="C13" s="11">
        <f>(C9-C10)*Prisudvikling2017+C10*Prisudvikling2018+SUM(C11:C12)*Prisudvikling2019</f>
        <v>126746.11901619518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9" t="s">
        <v>14</v>
      </c>
      <c r="C14" s="11">
        <f>-SUM(C9,C11:C13)*GenereltKrav</f>
        <v>-171589.07664311139</v>
      </c>
      <c r="D14" s="8" t="s">
        <v>3</v>
      </c>
      <c r="E14" s="15"/>
      <c r="F14" s="16"/>
      <c r="G14" s="1"/>
    </row>
    <row r="15" spans="1:7" x14ac:dyDescent="0.25">
      <c r="A15" s="1"/>
      <c r="B15" s="50" t="s">
        <v>46</v>
      </c>
      <c r="C15" s="17">
        <f>SUM(C9,C11:C14)</f>
        <v>9921886.0200104993</v>
      </c>
      <c r="D15" s="18" t="s">
        <v>3</v>
      </c>
      <c r="E15" s="17">
        <f>C15</f>
        <v>9921886.0200104993</v>
      </c>
      <c r="F15" s="18" t="s">
        <v>3</v>
      </c>
      <c r="G15" s="1"/>
    </row>
    <row r="16" spans="1:7" x14ac:dyDescent="0.25">
      <c r="A16" s="1"/>
      <c r="B16" s="45" t="s">
        <v>44</v>
      </c>
      <c r="C16" s="46"/>
      <c r="D16" s="46"/>
      <c r="E16" s="46"/>
      <c r="F16" s="47"/>
      <c r="G16" s="1"/>
    </row>
    <row r="17" spans="1:7" ht="15" customHeight="1" x14ac:dyDescent="0.25">
      <c r="A17" s="1"/>
      <c r="B17" s="49" t="s">
        <v>157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9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5" t="s">
        <v>21</v>
      </c>
      <c r="C20" s="46"/>
      <c r="D20" s="46"/>
      <c r="E20" s="46"/>
      <c r="F20" s="47"/>
      <c r="G20" s="1"/>
    </row>
    <row r="21" spans="1:7" ht="15" customHeight="1" x14ac:dyDescent="0.25">
      <c r="A21" s="1"/>
      <c r="B21" s="49" t="s">
        <v>21</v>
      </c>
      <c r="C21" s="11">
        <f>'Fane 5. Ikke-påvirkelige omk.'!E16</f>
        <v>4724316.2792467289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9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4724316.2792467289</v>
      </c>
      <c r="D23" s="18" t="s">
        <v>3</v>
      </c>
      <c r="E23" s="17">
        <f>C23</f>
        <v>4724316.2792467289</v>
      </c>
      <c r="F23" s="18" t="s">
        <v>3</v>
      </c>
      <c r="G23" s="1"/>
    </row>
    <row r="24" spans="1:7" ht="15" customHeight="1" x14ac:dyDescent="0.25">
      <c r="A24" s="1"/>
      <c r="B24" s="45" t="s">
        <v>88</v>
      </c>
      <c r="C24" s="46"/>
      <c r="D24" s="46"/>
      <c r="E24" s="46"/>
      <c r="F24" s="47"/>
      <c r="G24" s="1"/>
    </row>
    <row r="25" spans="1:7" ht="15" customHeight="1" x14ac:dyDescent="0.25">
      <c r="A25" s="1"/>
      <c r="B25" s="48" t="s">
        <v>62</v>
      </c>
      <c r="C25" s="70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8" t="s">
        <v>63</v>
      </c>
      <c r="C26" s="70">
        <v>0</v>
      </c>
      <c r="D26" s="8" t="s">
        <v>3</v>
      </c>
      <c r="E26" s="38"/>
      <c r="F26" s="13"/>
      <c r="G26" s="1"/>
    </row>
    <row r="27" spans="1:7" ht="28.5" customHeight="1" x14ac:dyDescent="0.25">
      <c r="A27" s="1"/>
      <c r="B27" s="49" t="s">
        <v>64</v>
      </c>
      <c r="C27" s="70">
        <v>26018.67796585197</v>
      </c>
      <c r="D27" s="8" t="s">
        <v>3</v>
      </c>
      <c r="E27" s="37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26018.67796585197</v>
      </c>
      <c r="D28" s="18" t="s">
        <v>3</v>
      </c>
      <c r="E28" s="17">
        <f>C28</f>
        <v>26018.67796585197</v>
      </c>
      <c r="F28" s="18" t="s">
        <v>3</v>
      </c>
      <c r="G28" s="1"/>
    </row>
    <row r="29" spans="1:7" x14ac:dyDescent="0.25">
      <c r="A29" s="1"/>
      <c r="B29" s="45" t="s">
        <v>15</v>
      </c>
      <c r="C29" s="46"/>
      <c r="D29" s="46"/>
      <c r="E29" s="46"/>
      <c r="F29" s="47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-1352958.5</v>
      </c>
      <c r="D30" s="18" t="s">
        <v>3</v>
      </c>
      <c r="E30" s="17">
        <f>C30</f>
        <v>-1352958.5</v>
      </c>
      <c r="F30" s="18" t="s">
        <v>3</v>
      </c>
      <c r="G30" s="1"/>
    </row>
    <row r="31" spans="1:7" x14ac:dyDescent="0.25">
      <c r="A31" s="1"/>
      <c r="B31" s="45" t="s">
        <v>35</v>
      </c>
      <c r="C31" s="46"/>
      <c r="D31" s="47"/>
      <c r="E31" s="20">
        <f>SUM(E15,E19,E23,E28,E30)</f>
        <v>13319262.47722308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48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67</v>
      </c>
      <c r="C9" s="7">
        <f>'Fane 2.1. Økonomisk ramme 2019'!E15</f>
        <v>9921886.0200104993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50</v>
      </c>
      <c r="C10" s="7">
        <f>'Fane 2.1. Økonomisk ramme 2019'!C10*(1+Prisudvikling2018)*(1-GenereltKrav)</f>
        <v>0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68</v>
      </c>
      <c r="C11" s="7">
        <f>SUM('Fane 2.1. Økonomisk ramme 2019'!C11:C12)*(1+Prisudvikling2019)*(1-GenereltKrav)</f>
        <v>40141.828046338691</v>
      </c>
      <c r="D11" s="8" t="s">
        <v>3</v>
      </c>
      <c r="E11" s="37"/>
      <c r="F11" s="13"/>
      <c r="G11" s="1"/>
    </row>
    <row r="12" spans="1:7" ht="15" customHeight="1" x14ac:dyDescent="0.25">
      <c r="A12" s="1"/>
      <c r="B12" s="49" t="s">
        <v>42</v>
      </c>
      <c r="C12" s="11">
        <f>(C9-C10-C11)*Prisudvikling2017+C10*Prisudvikling2018+C11*Prisudvikling2019</f>
        <v>126176.54813192796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14</v>
      </c>
      <c r="C13" s="11">
        <f>-SUM(C9,C12)*GenereltKrav</f>
        <v>-170817.06365842128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50" t="s">
        <v>46</v>
      </c>
      <c r="C14" s="17">
        <f>SUM(C9,C12:C13)</f>
        <v>9877245.5044840053</v>
      </c>
      <c r="D14" s="18" t="s">
        <v>3</v>
      </c>
      <c r="E14" s="17">
        <f>C14</f>
        <v>9877245.5044840053</v>
      </c>
      <c r="F14" s="18" t="s">
        <v>3</v>
      </c>
      <c r="G14" s="1"/>
    </row>
    <row r="15" spans="1:7" ht="15" customHeight="1" x14ac:dyDescent="0.25">
      <c r="A15" s="1"/>
      <c r="B15" s="45" t="s">
        <v>44</v>
      </c>
      <c r="C15" s="46"/>
      <c r="D15" s="46"/>
      <c r="E15" s="46"/>
      <c r="F15" s="47"/>
      <c r="G15" s="1"/>
    </row>
    <row r="16" spans="1:7" ht="15" customHeight="1" x14ac:dyDescent="0.25">
      <c r="A16" s="1"/>
      <c r="B16" s="49" t="s">
        <v>157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9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5" t="s">
        <v>21</v>
      </c>
      <c r="C19" s="46"/>
      <c r="D19" s="46"/>
      <c r="E19" s="46"/>
      <c r="F19" s="47"/>
      <c r="G19" s="1"/>
    </row>
    <row r="20" spans="1:7" ht="14.25" customHeight="1" x14ac:dyDescent="0.25">
      <c r="A20" s="1"/>
      <c r="B20" s="49" t="s">
        <v>21</v>
      </c>
      <c r="C20" s="11">
        <f>'Fane 5. Ikke-påvirkelige omk.'!E16*(1+Prisudvikling2019)</f>
        <v>4804157.2243659981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9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4804157.2243659981</v>
      </c>
      <c r="D22" s="18" t="s">
        <v>3</v>
      </c>
      <c r="E22" s="17">
        <f>C22</f>
        <v>4804157.2243659981</v>
      </c>
      <c r="F22" s="18" t="s">
        <v>3</v>
      </c>
      <c r="G22" s="1"/>
    </row>
    <row r="23" spans="1:7" x14ac:dyDescent="0.25">
      <c r="A23" s="1"/>
      <c r="B23" s="45" t="s">
        <v>15</v>
      </c>
      <c r="C23" s="46"/>
      <c r="D23" s="46"/>
      <c r="E23" s="46"/>
      <c r="F23" s="47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-1352958.5</v>
      </c>
      <c r="D24" s="18" t="s">
        <v>3</v>
      </c>
      <c r="E24" s="17">
        <f>C24</f>
        <v>-1352958.5</v>
      </c>
      <c r="F24" s="18" t="s">
        <v>3</v>
      </c>
      <c r="G24" s="1"/>
    </row>
    <row r="25" spans="1:7" x14ac:dyDescent="0.25">
      <c r="A25" s="1"/>
      <c r="B25" s="45" t="s">
        <v>69</v>
      </c>
      <c r="C25" s="46"/>
      <c r="D25" s="47"/>
      <c r="E25" s="20">
        <f>SUM(E14,E18,E22,E24)</f>
        <v>13328444.228850003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91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49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52" t="s">
        <v>70</v>
      </c>
      <c r="C9" s="7">
        <f>'Fane 2.2. Økonomisk ramme 2020'!E14</f>
        <v>9877245.5044840053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27</v>
      </c>
      <c r="C10" s="7">
        <f>'Fane 4. Korrigeret grundlag'!G24</f>
        <v>191937.43502477722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42</v>
      </c>
      <c r="C11" s="11">
        <f>SUM(C9:C10)*Prisudvikling2019</f>
        <v>170169.1916776984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14</v>
      </c>
      <c r="C12" s="11">
        <f>-SUM(C9:C11)*GenereltKrav</f>
        <v>-174068.98623017021</v>
      </c>
      <c r="D12" s="8" t="s">
        <v>3</v>
      </c>
      <c r="E12" s="15"/>
      <c r="F12" s="16"/>
      <c r="G12" s="1"/>
    </row>
    <row r="13" spans="1:7" x14ac:dyDescent="0.25">
      <c r="A13" s="1"/>
      <c r="B13" s="50" t="s">
        <v>46</v>
      </c>
      <c r="C13" s="17">
        <f>SUM(C9:C12)</f>
        <v>10065283.144956311</v>
      </c>
      <c r="D13" s="18" t="s">
        <v>3</v>
      </c>
      <c r="E13" s="17">
        <f>C13</f>
        <v>10065283.144956311</v>
      </c>
      <c r="F13" s="18" t="s">
        <v>3</v>
      </c>
      <c r="G13" s="1"/>
    </row>
    <row r="14" spans="1:7" x14ac:dyDescent="0.25">
      <c r="A14" s="1"/>
      <c r="B14" s="45" t="s">
        <v>44</v>
      </c>
      <c r="C14" s="46"/>
      <c r="D14" s="46"/>
      <c r="E14" s="46"/>
      <c r="F14" s="47"/>
      <c r="G14" s="1"/>
    </row>
    <row r="15" spans="1:7" ht="15" customHeight="1" x14ac:dyDescent="0.25">
      <c r="A15" s="1"/>
      <c r="B15" s="49" t="s">
        <v>157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9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5" t="s">
        <v>21</v>
      </c>
      <c r="C18" s="46"/>
      <c r="D18" s="46"/>
      <c r="E18" s="46"/>
      <c r="F18" s="47"/>
      <c r="G18" s="1"/>
    </row>
    <row r="19" spans="1:7" ht="15" customHeight="1" x14ac:dyDescent="0.25">
      <c r="A19" s="1"/>
      <c r="B19" s="49" t="s">
        <v>21</v>
      </c>
      <c r="C19" s="11">
        <f>'Fane 5. Ikke-påvirkelige omk.'!E16*(1+Prisudvikling2019)^2</f>
        <v>4885347.4814577829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9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4885347.4814577829</v>
      </c>
      <c r="D21" s="18" t="s">
        <v>3</v>
      </c>
      <c r="E21" s="17">
        <f>C21</f>
        <v>4885347.4814577829</v>
      </c>
      <c r="F21" s="18" t="s">
        <v>3</v>
      </c>
      <c r="G21" s="1"/>
    </row>
    <row r="22" spans="1:7" x14ac:dyDescent="0.25">
      <c r="A22" s="1"/>
      <c r="B22" s="45" t="s">
        <v>125</v>
      </c>
      <c r="C22" s="46"/>
      <c r="D22" s="46"/>
      <c r="E22" s="46"/>
      <c r="F22" s="47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109694.06394745105</v>
      </c>
      <c r="D23" s="18" t="s">
        <v>3</v>
      </c>
      <c r="E23" s="17">
        <f>C23</f>
        <v>109694.06394745105</v>
      </c>
      <c r="F23" s="18" t="s">
        <v>3</v>
      </c>
      <c r="G23" s="1"/>
    </row>
    <row r="24" spans="1:7" x14ac:dyDescent="0.25">
      <c r="A24" s="1"/>
      <c r="B24" s="45" t="s">
        <v>122</v>
      </c>
      <c r="C24" s="46"/>
      <c r="D24" s="46"/>
      <c r="E24" s="46"/>
      <c r="F24" s="47"/>
      <c r="G24" s="1"/>
    </row>
    <row r="25" spans="1:7" ht="15" customHeight="1" x14ac:dyDescent="0.25">
      <c r="A25" s="1"/>
      <c r="B25" s="48" t="s">
        <v>123</v>
      </c>
      <c r="C25" s="11">
        <f>'Fane 6. Korrektion prisloft 16'!G22</f>
        <v>691598.89473319647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8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4">
        <f>SUM(C25:C26)</f>
        <v>691598.89473319647</v>
      </c>
      <c r="D27" s="41" t="s">
        <v>3</v>
      </c>
      <c r="E27" s="17">
        <f>C27</f>
        <v>691598.89473319647</v>
      </c>
      <c r="F27" s="18" t="s">
        <v>3</v>
      </c>
      <c r="G27" s="1"/>
    </row>
    <row r="28" spans="1:7" x14ac:dyDescent="0.25">
      <c r="A28" s="1"/>
      <c r="B28" s="45" t="s">
        <v>85</v>
      </c>
      <c r="C28" s="46"/>
      <c r="D28" s="47"/>
      <c r="E28" s="20">
        <f>SUM(E13,E17,E21,E23,E27)</f>
        <v>15751923.585094741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92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49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80</v>
      </c>
      <c r="C9" s="7">
        <f>'Fane 2.3. Økonomisk ramme 2021'!E13</f>
        <v>10065283.144956311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42</v>
      </c>
      <c r="C10" s="11">
        <f>C9*Prisudvikling2019</f>
        <v>170103.28514976165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9" t="s">
        <v>14</v>
      </c>
      <c r="C11" s="11">
        <f>-SUM(C9:C10)*GenereltKrav</f>
        <v>-174001.56931180327</v>
      </c>
      <c r="D11" s="8" t="s">
        <v>3</v>
      </c>
      <c r="E11" s="15"/>
      <c r="F11" s="16"/>
      <c r="G11" s="1"/>
    </row>
    <row r="12" spans="1:7" x14ac:dyDescent="0.25">
      <c r="A12" s="1"/>
      <c r="B12" s="50" t="s">
        <v>46</v>
      </c>
      <c r="C12" s="17">
        <f>SUM(C9:C11)</f>
        <v>10061384.86079427</v>
      </c>
      <c r="D12" s="18" t="s">
        <v>3</v>
      </c>
      <c r="E12" s="17">
        <f>C12</f>
        <v>10061384.86079427</v>
      </c>
      <c r="F12" s="18" t="s">
        <v>3</v>
      </c>
      <c r="G12" s="1"/>
    </row>
    <row r="13" spans="1:7" x14ac:dyDescent="0.25">
      <c r="A13" s="1"/>
      <c r="B13" s="45" t="s">
        <v>44</v>
      </c>
      <c r="C13" s="46"/>
      <c r="D13" s="46"/>
      <c r="E13" s="46"/>
      <c r="F13" s="47"/>
      <c r="G13" s="1"/>
    </row>
    <row r="14" spans="1:7" ht="15" customHeight="1" x14ac:dyDescent="0.25">
      <c r="A14" s="1"/>
      <c r="B14" s="49" t="s">
        <v>157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9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5" t="s">
        <v>21</v>
      </c>
      <c r="C17" s="46"/>
      <c r="D17" s="46"/>
      <c r="E17" s="46"/>
      <c r="F17" s="47"/>
      <c r="G17" s="1"/>
    </row>
    <row r="18" spans="1:7" ht="15" customHeight="1" x14ac:dyDescent="0.25">
      <c r="A18" s="1"/>
      <c r="B18" s="49" t="s">
        <v>21</v>
      </c>
      <c r="C18" s="11">
        <f>'Fane 5. Ikke-påvirkelige omk.'!E16*(1+Prisudvikling2019)^3</f>
        <v>4967909.853894419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9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4967909.853894419</v>
      </c>
      <c r="D20" s="18" t="s">
        <v>3</v>
      </c>
      <c r="E20" s="17">
        <f>C20</f>
        <v>4967909.853894419</v>
      </c>
      <c r="F20" s="18" t="s">
        <v>3</v>
      </c>
      <c r="G20" s="1"/>
    </row>
    <row r="21" spans="1:7" x14ac:dyDescent="0.25">
      <c r="A21" s="1"/>
      <c r="B21" s="45" t="s">
        <v>125</v>
      </c>
      <c r="C21" s="46"/>
      <c r="D21" s="46"/>
      <c r="E21" s="46"/>
      <c r="F21" s="47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111547.89362816297</v>
      </c>
      <c r="D22" s="18" t="s">
        <v>3</v>
      </c>
      <c r="E22" s="17">
        <f>C22</f>
        <v>111547.89362816297</v>
      </c>
      <c r="F22" s="18" t="s">
        <v>3</v>
      </c>
      <c r="G22" s="1"/>
    </row>
    <row r="23" spans="1:7" ht="15" customHeight="1" x14ac:dyDescent="0.25">
      <c r="A23" s="1"/>
      <c r="B23" s="45" t="s">
        <v>122</v>
      </c>
      <c r="C23" s="46"/>
      <c r="D23" s="46"/>
      <c r="E23" s="46"/>
      <c r="F23" s="47"/>
      <c r="G23" s="1"/>
    </row>
    <row r="24" spans="1:7" ht="15" customHeight="1" x14ac:dyDescent="0.25">
      <c r="A24" s="1"/>
      <c r="B24" s="48" t="s">
        <v>123</v>
      </c>
      <c r="C24" s="11">
        <f>'Fane 2.3. Økonomisk ramme 2021'!C25*(1+Prisudvikling2019)</f>
        <v>703286.91605418746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8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160</v>
      </c>
      <c r="C26" s="64">
        <f>SUM(C24:C25)</f>
        <v>703286.91605418746</v>
      </c>
      <c r="D26" s="41" t="s">
        <v>3</v>
      </c>
      <c r="E26" s="17">
        <f>C26</f>
        <v>703286.91605418746</v>
      </c>
      <c r="F26" s="18" t="s">
        <v>3</v>
      </c>
      <c r="G26" s="1"/>
    </row>
    <row r="27" spans="1:7" x14ac:dyDescent="0.25">
      <c r="A27" s="1"/>
      <c r="B27" s="45" t="s">
        <v>79</v>
      </c>
      <c r="C27" s="46"/>
      <c r="D27" s="47"/>
      <c r="E27" s="20">
        <f>SUM(E12,E16,E20,E22,E26)</f>
        <v>15844129.524371039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60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34</v>
      </c>
      <c r="C9" s="53"/>
      <c r="D9" s="53"/>
      <c r="E9" s="53"/>
      <c r="F9" s="54"/>
      <c r="G9" s="25">
        <v>15094845.700537415</v>
      </c>
      <c r="H9" s="22" t="s">
        <v>3</v>
      </c>
      <c r="I9" s="1"/>
    </row>
    <row r="10" spans="1:9" x14ac:dyDescent="0.25">
      <c r="A10" s="1"/>
      <c r="B10" s="51" t="s">
        <v>61</v>
      </c>
      <c r="C10" s="53"/>
      <c r="D10" s="53"/>
      <c r="E10" s="53"/>
      <c r="F10" s="54"/>
      <c r="G10" s="25">
        <v>0</v>
      </c>
      <c r="H10" s="22" t="s">
        <v>3</v>
      </c>
      <c r="I10" s="1"/>
    </row>
    <row r="11" spans="1:9" x14ac:dyDescent="0.25">
      <c r="A11" s="1"/>
      <c r="B11" s="51" t="s">
        <v>58</v>
      </c>
      <c r="C11" s="53"/>
      <c r="D11" s="53"/>
      <c r="E11" s="53"/>
      <c r="F11" s="54"/>
      <c r="G11" s="25">
        <v>5168274.1038999995</v>
      </c>
      <c r="H11" s="22" t="s">
        <v>3</v>
      </c>
      <c r="I11" s="1"/>
    </row>
    <row r="12" spans="1:9" x14ac:dyDescent="0.25">
      <c r="A12" s="1"/>
      <c r="B12" s="51" t="s">
        <v>59</v>
      </c>
      <c r="C12" s="53"/>
      <c r="D12" s="53"/>
      <c r="E12" s="53"/>
      <c r="F12" s="54"/>
      <c r="G12" s="25">
        <v>0</v>
      </c>
      <c r="H12" s="22" t="s">
        <v>3</v>
      </c>
      <c r="I12" s="1"/>
    </row>
    <row r="13" spans="1:9" ht="26.25" customHeight="1" x14ac:dyDescent="0.25">
      <c r="A13" s="1"/>
      <c r="B13" s="55" t="s">
        <v>81</v>
      </c>
      <c r="C13" s="56"/>
      <c r="D13" s="56"/>
      <c r="E13" s="56"/>
      <c r="F13" s="57"/>
      <c r="G13" s="39">
        <f>G9-G11-G12</f>
        <v>9926571.5966374166</v>
      </c>
      <c r="H13" s="40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139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71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72</v>
      </c>
      <c r="C9" s="53"/>
      <c r="D9" s="53"/>
      <c r="E9" s="53"/>
      <c r="F9" s="54"/>
      <c r="G9" s="25">
        <v>5074121.0701461323</v>
      </c>
      <c r="H9" s="22" t="s">
        <v>3</v>
      </c>
      <c r="I9" s="1"/>
    </row>
    <row r="10" spans="1:9" x14ac:dyDescent="0.25">
      <c r="A10" s="1"/>
      <c r="B10" s="52" t="s">
        <v>73</v>
      </c>
      <c r="C10" s="53"/>
      <c r="D10" s="53"/>
      <c r="E10" s="53"/>
      <c r="F10" s="54"/>
      <c r="G10" s="25">
        <v>5069993.2755895276</v>
      </c>
      <c r="H10" s="22" t="s">
        <v>3</v>
      </c>
      <c r="I10" s="1"/>
    </row>
    <row r="11" spans="1:9" ht="26.25" customHeight="1" x14ac:dyDescent="0.25">
      <c r="A11" s="1"/>
      <c r="B11" s="55" t="s">
        <v>74</v>
      </c>
      <c r="C11" s="56"/>
      <c r="D11" s="56"/>
      <c r="E11" s="56"/>
      <c r="F11" s="57"/>
      <c r="G11" s="39">
        <f>SUM(G9:G10)</f>
        <v>10144114.34573566</v>
      </c>
      <c r="H11" s="40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5" t="s">
        <v>75</v>
      </c>
      <c r="C14" s="46"/>
      <c r="D14" s="46"/>
      <c r="E14" s="46"/>
      <c r="F14" s="46"/>
      <c r="G14" s="46"/>
      <c r="H14" s="47"/>
      <c r="I14" s="1"/>
    </row>
    <row r="15" spans="1:9" x14ac:dyDescent="0.25">
      <c r="A15" s="1"/>
      <c r="B15" s="52" t="s">
        <v>36</v>
      </c>
      <c r="C15" s="53"/>
      <c r="D15" s="53"/>
      <c r="E15" s="53"/>
      <c r="F15" s="54"/>
      <c r="G15" s="25">
        <v>5074121.0701461323</v>
      </c>
      <c r="H15" s="22" t="s">
        <v>3</v>
      </c>
      <c r="I15" s="1"/>
    </row>
    <row r="16" spans="1:9" x14ac:dyDescent="0.25">
      <c r="A16" s="1"/>
      <c r="B16" s="52" t="s">
        <v>37</v>
      </c>
      <c r="C16" s="53"/>
      <c r="D16" s="53"/>
      <c r="E16" s="53"/>
      <c r="F16" s="54"/>
      <c r="G16" s="25">
        <v>5252519.3631298607</v>
      </c>
      <c r="H16" s="22" t="s">
        <v>3</v>
      </c>
      <c r="I16" s="1"/>
    </row>
    <row r="17" spans="1:9" ht="26.25" customHeight="1" x14ac:dyDescent="0.25">
      <c r="A17" s="1"/>
      <c r="B17" s="55" t="s">
        <v>76</v>
      </c>
      <c r="C17" s="56"/>
      <c r="D17" s="56"/>
      <c r="E17" s="56"/>
      <c r="F17" s="57"/>
      <c r="G17" s="39">
        <f>SUM(G15:G16)</f>
        <v>10326640.433275994</v>
      </c>
      <c r="H17" s="40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5" t="s">
        <v>27</v>
      </c>
      <c r="C20" s="46"/>
      <c r="D20" s="46"/>
      <c r="E20" s="46"/>
      <c r="F20" s="46"/>
      <c r="G20" s="46"/>
      <c r="H20" s="47"/>
      <c r="I20" s="1"/>
    </row>
    <row r="21" spans="1:9" x14ac:dyDescent="0.25">
      <c r="A21" s="1"/>
      <c r="B21" s="52" t="s">
        <v>77</v>
      </c>
      <c r="C21" s="53"/>
      <c r="D21" s="53"/>
      <c r="E21" s="53"/>
      <c r="F21" s="54"/>
      <c r="G21" s="11">
        <f>G15-G9</f>
        <v>0</v>
      </c>
      <c r="H21" s="22" t="s">
        <v>3</v>
      </c>
      <c r="I21" s="1"/>
    </row>
    <row r="22" spans="1:9" x14ac:dyDescent="0.25">
      <c r="A22" s="1"/>
      <c r="B22" s="52" t="s">
        <v>78</v>
      </c>
      <c r="C22" s="53"/>
      <c r="D22" s="53"/>
      <c r="E22" s="53"/>
      <c r="F22" s="54"/>
      <c r="G22" s="11">
        <f>G16-G10</f>
        <v>182526.08754033316</v>
      </c>
      <c r="H22" s="22" t="s">
        <v>3</v>
      </c>
      <c r="I22" s="1"/>
    </row>
    <row r="23" spans="1:9" ht="15" customHeight="1" x14ac:dyDescent="0.25">
      <c r="A23" s="1"/>
      <c r="B23" s="55" t="s">
        <v>140</v>
      </c>
      <c r="C23" s="56"/>
      <c r="D23" s="56"/>
      <c r="E23" s="56"/>
      <c r="F23" s="57"/>
      <c r="G23" s="20">
        <f>SUM(G21:G22)</f>
        <v>182526.08754033316</v>
      </c>
      <c r="H23" s="21" t="s">
        <v>3</v>
      </c>
      <c r="I23" s="1"/>
    </row>
    <row r="24" spans="1:9" ht="15" customHeight="1" x14ac:dyDescent="0.25">
      <c r="A24" s="1"/>
      <c r="B24" s="55" t="s">
        <v>141</v>
      </c>
      <c r="C24" s="56"/>
      <c r="D24" s="56"/>
      <c r="E24" s="56"/>
      <c r="F24" s="57"/>
      <c r="G24" s="20">
        <f>G23*(1+Prisudvikling2019)^3</f>
        <v>191937.43502477722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3" t="s">
        <v>112</v>
      </c>
      <c r="C26" s="63"/>
      <c r="D26" s="63"/>
      <c r="E26" s="63"/>
      <c r="F26" s="63"/>
      <c r="G26" s="63"/>
      <c r="H26" s="63"/>
      <c r="I26" s="1"/>
    </row>
    <row r="27" spans="1:9" ht="26.25" x14ac:dyDescent="0.25">
      <c r="A27" s="1"/>
      <c r="B27" s="63" t="s">
        <v>158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134</v>
      </c>
      <c r="C3" s="93"/>
      <c r="D3" s="93"/>
      <c r="E3" s="93"/>
      <c r="F3" s="93"/>
      <c r="G3" s="1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82</v>
      </c>
      <c r="C8" s="46"/>
      <c r="D8" s="46"/>
      <c r="E8" s="46"/>
      <c r="F8" s="47"/>
      <c r="G8" s="1"/>
      <c r="H8" s="1"/>
    </row>
    <row r="9" spans="1:8" ht="15" customHeight="1" x14ac:dyDescent="0.25">
      <c r="A9" s="1"/>
      <c r="B9" s="32" t="s">
        <v>109</v>
      </c>
      <c r="C9" s="33"/>
      <c r="D9" s="41"/>
      <c r="E9" s="18" t="s">
        <v>57</v>
      </c>
      <c r="F9" s="18"/>
      <c r="G9" s="1"/>
      <c r="H9" s="1"/>
    </row>
    <row r="10" spans="1:8" x14ac:dyDescent="0.25">
      <c r="A10" s="1"/>
      <c r="B10" s="71" t="s">
        <v>151</v>
      </c>
      <c r="C10" s="58"/>
      <c r="D10" s="59"/>
      <c r="E10" s="25">
        <v>4318894</v>
      </c>
      <c r="F10" s="22" t="s">
        <v>3</v>
      </c>
      <c r="G10" s="1"/>
      <c r="H10" s="1"/>
    </row>
    <row r="11" spans="1:8" x14ac:dyDescent="0.25">
      <c r="A11" s="1"/>
      <c r="B11" s="71" t="s">
        <v>152</v>
      </c>
      <c r="C11" s="58"/>
      <c r="D11" s="59"/>
      <c r="E11" s="25">
        <v>44921</v>
      </c>
      <c r="F11" s="22" t="s">
        <v>3</v>
      </c>
      <c r="G11" s="1"/>
      <c r="H11" s="1"/>
    </row>
    <row r="12" spans="1:8" x14ac:dyDescent="0.25">
      <c r="A12" s="1"/>
      <c r="B12" s="71" t="s">
        <v>153</v>
      </c>
      <c r="C12" s="58"/>
      <c r="D12" s="59"/>
      <c r="E12" s="25">
        <v>9360</v>
      </c>
      <c r="F12" s="22" t="s">
        <v>3</v>
      </c>
      <c r="G12" s="1"/>
      <c r="H12" s="1"/>
    </row>
    <row r="13" spans="1:8" ht="26.25" x14ac:dyDescent="0.25">
      <c r="A13" s="1"/>
      <c r="B13" s="71" t="s">
        <v>154</v>
      </c>
      <c r="C13" s="58"/>
      <c r="D13" s="59"/>
      <c r="E13" s="25">
        <v>67418</v>
      </c>
      <c r="F13" s="22" t="s">
        <v>3</v>
      </c>
      <c r="G13" s="1"/>
      <c r="H13" s="1"/>
    </row>
    <row r="14" spans="1:8" x14ac:dyDescent="0.25">
      <c r="A14" s="1"/>
      <c r="B14" s="71" t="s">
        <v>155</v>
      </c>
      <c r="C14" s="58"/>
      <c r="D14" s="59"/>
      <c r="E14" s="25">
        <v>128000</v>
      </c>
      <c r="F14" s="22" t="s">
        <v>3</v>
      </c>
      <c r="G14" s="1"/>
      <c r="H14" s="1"/>
    </row>
    <row r="15" spans="1:8" x14ac:dyDescent="0.25">
      <c r="A15" s="1"/>
      <c r="B15" s="45" t="s">
        <v>137</v>
      </c>
      <c r="C15" s="46"/>
      <c r="D15" s="47"/>
      <c r="E15" s="20">
        <f>SUM(E10:E14)</f>
        <v>4568593</v>
      </c>
      <c r="F15" s="21" t="s">
        <v>3</v>
      </c>
      <c r="G15" s="1"/>
      <c r="H15" s="1"/>
    </row>
    <row r="16" spans="1:8" x14ac:dyDescent="0.25">
      <c r="A16" s="1"/>
      <c r="B16" s="45" t="s">
        <v>138</v>
      </c>
      <c r="C16" s="46"/>
      <c r="D16" s="47"/>
      <c r="E16" s="20">
        <f>E15*(1+Prisudvikling2019)^2</f>
        <v>4724316.2792467289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129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125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33</v>
      </c>
      <c r="C9" s="103"/>
      <c r="D9" s="104"/>
      <c r="E9" s="25">
        <v>403269.80999999994</v>
      </c>
      <c r="F9" s="22" t="s">
        <v>3</v>
      </c>
      <c r="G9" s="19"/>
      <c r="H9" s="30"/>
      <c r="I9" s="1"/>
    </row>
    <row r="10" spans="1:9" x14ac:dyDescent="0.25">
      <c r="A10" s="1"/>
      <c r="B10" s="96" t="s">
        <v>116</v>
      </c>
      <c r="C10" s="97"/>
      <c r="D10" s="98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6" t="s">
        <v>126</v>
      </c>
      <c r="C11" s="97"/>
      <c r="D11" s="98"/>
      <c r="E11" s="11">
        <f>E9/E10</f>
        <v>100817.45249999998</v>
      </c>
      <c r="F11" s="22" t="s">
        <v>3</v>
      </c>
      <c r="G11" s="14"/>
      <c r="H11" s="31"/>
      <c r="I11" s="1"/>
    </row>
    <row r="12" spans="1:9" x14ac:dyDescent="0.25">
      <c r="A12" s="1"/>
      <c r="B12" s="99" t="s">
        <v>132</v>
      </c>
      <c r="C12" s="100"/>
      <c r="D12" s="100"/>
      <c r="E12" s="100"/>
      <c r="F12" s="101"/>
      <c r="G12" s="20">
        <f>E11</f>
        <v>100817.45249999998</v>
      </c>
      <c r="H12" s="21" t="s">
        <v>3</v>
      </c>
      <c r="I12" s="1"/>
    </row>
    <row r="13" spans="1:9" x14ac:dyDescent="0.25">
      <c r="A13" s="1"/>
      <c r="B13" s="99" t="s">
        <v>128</v>
      </c>
      <c r="C13" s="100"/>
      <c r="D13" s="100"/>
      <c r="E13" s="100"/>
      <c r="F13" s="101"/>
      <c r="G13" s="20">
        <f>G12*(1+Prisudvikling2018)*(1+Prisudvikling2019)^4</f>
        <v>109694.06394745105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9" t="s">
        <v>123</v>
      </c>
      <c r="C17" s="100"/>
      <c r="D17" s="100"/>
      <c r="E17" s="100"/>
      <c r="F17" s="100"/>
      <c r="G17" s="100"/>
      <c r="H17" s="101"/>
      <c r="I17" s="1"/>
    </row>
    <row r="18" spans="1:9" x14ac:dyDescent="0.25">
      <c r="A18" s="1"/>
      <c r="B18" s="102" t="s">
        <v>123</v>
      </c>
      <c r="C18" s="103"/>
      <c r="D18" s="104"/>
      <c r="E18" s="25">
        <v>2542534.617086241</v>
      </c>
      <c r="F18" s="22" t="s">
        <v>3</v>
      </c>
      <c r="G18" s="14"/>
      <c r="H18" s="31"/>
      <c r="I18" s="1"/>
    </row>
    <row r="19" spans="1:9" x14ac:dyDescent="0.25">
      <c r="A19" s="1"/>
      <c r="B19" s="96" t="s">
        <v>116</v>
      </c>
      <c r="C19" s="97"/>
      <c r="D19" s="98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6" t="s">
        <v>127</v>
      </c>
      <c r="C20" s="97"/>
      <c r="D20" s="98"/>
      <c r="E20" s="11">
        <f>E18/E19</f>
        <v>635633.65427156026</v>
      </c>
      <c r="F20" s="22" t="s">
        <v>3</v>
      </c>
      <c r="G20" s="14"/>
      <c r="H20" s="31"/>
      <c r="I20" s="1"/>
    </row>
    <row r="21" spans="1:9" x14ac:dyDescent="0.25">
      <c r="A21" s="1"/>
      <c r="B21" s="99" t="s">
        <v>132</v>
      </c>
      <c r="C21" s="100"/>
      <c r="D21" s="100"/>
      <c r="E21" s="100"/>
      <c r="F21" s="101"/>
      <c r="G21" s="20">
        <f>E20</f>
        <v>635633.65427156026</v>
      </c>
      <c r="H21" s="21" t="s">
        <v>3</v>
      </c>
      <c r="I21" s="1"/>
    </row>
    <row r="22" spans="1:9" x14ac:dyDescent="0.25">
      <c r="A22" s="1"/>
      <c r="B22" s="99" t="s">
        <v>128</v>
      </c>
      <c r="C22" s="100"/>
      <c r="D22" s="100"/>
      <c r="E22" s="100"/>
      <c r="F22" s="101"/>
      <c r="G22" s="20">
        <f>G21*(1+Prisudvikling2018)*(1+Prisudvikling2019)^4</f>
        <v>691598.89473319647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2018-08-10T11:33:29Z</dcterms:modified>
</cp:coreProperties>
</file>