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E50" i="11" l="1"/>
  <c r="E51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2" i="1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55" i="11"/>
  <c r="F55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5" i="19"/>
  <c r="E16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54" i="11"/>
  <c r="E24" i="15" l="1"/>
  <c r="D12" i="20"/>
  <c r="C10" i="2" s="1"/>
  <c r="C16" i="2" s="1"/>
  <c r="C12" i="15" l="1"/>
  <c r="C12" i="22" s="1"/>
  <c r="C11" i="23" s="1"/>
  <c r="E53" i="11"/>
  <c r="E55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<sst xmlns="http://schemas.openxmlformats.org/spreadsheetml/2006/main" count="411" uniqueCount="161">
  <si>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</si>
  <si>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</si>
  <si>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</si>
  <si>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</si>
  <si>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</si>
  <si>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</si>
  <si>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</si>
  <si>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</si>
  <si>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</si>
  <si>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</si>
  <si>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</si>
  <si>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</si>
  <si>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</si>
  <si>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</si>
  <si>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</si>
  <si>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</si>
  <si>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</si>
  <si>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</si>
  <si>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</si>
  <si>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</si>
  <si>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</si>
  <si>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</si>
  <si>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</si>
  <si>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</si>
  <si>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</si>
  <si>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</si>
  <si>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</si>
  <si>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</si>
  <si>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</si>
  <si>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</si>
  <si>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</si>
  <si>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</si>
  <si>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</si>
  <si>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</si>
  <si>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</si>
  <si>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</si>
  <si>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</si>
  <si>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</si>
  <si>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</si>
  <si>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</si>
  <si>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</si>
  <si>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</si>
  <si>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</si>
  <si>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</si>
  <si>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</si>
  <si>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</si>
  <si>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</si>
  <si>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</si>
  <si>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</si>
  <si>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</si>
  <si>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</si>
  <si>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</si>
  <si>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</si>
  <si>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</si>
  <si>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</si>
  <si>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</si>
  <si>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</si>
  <si>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</si>
  <si>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</si>
  <si>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</si>
  <si>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</si>
  <si>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</si>
  <si>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</si>
  <si>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</si>
  <si>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</si>
  <si>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</si>
  <si>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</si>
  <si>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</si>
  <si>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</si>
  <si>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</si>
  <si>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</si>
  <si>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</si>
  <si>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</si>
  <si>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</si>
  <si>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</si>
  <si>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</si>
  <si>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</si>
  <si>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</si>
  <si>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</si>
  <si>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</si>
  <si>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</si>
  <si>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</si>
  <si>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</si>
  <si>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</si>
  <si>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</si>
  <si>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</si>
  <si>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</si>
  <si>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</si>
  <si>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</si>
  <si>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</si>
  <si>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</si>
  <si>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</si>
  <si>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</si>
  <si>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</si>
  <si>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</si>
  <si>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</si>
  <si>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</si>
  <si>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</si>
  <si>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</si>
  <si>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</si>
  <si>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</si>
  <si>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</si>
  <si>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</si>
  <si>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</si>
  <si>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</si>
  <si>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</si>
  <si>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</si>
  <si>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</si>
  <si>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</si>
  <si>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</si>
  <si>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</si>
  <si>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</si>
  <si>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</si>
  <si>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</si>
  <si>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</si>
  <si>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</si>
  <si>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</si>
  <si>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</si>
  <si>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</si>
  <si>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</si>
  <si>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</si>
  <si>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</si>
  <si>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</si>
  <si>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</si>
  <si>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</si>
  <si>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</si>
  <si>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</si>
  <si>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</si>
  <si>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</si>
  <si>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</si>
  <si>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</si>
  <si>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</si>
  <si>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</si>
  <si>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Spildevandsafgift</t>
  </si>
  <si>
    <t>Afgift til Forsyningsekretariatet</t>
  </si>
  <si>
    <t>Skatter og afgifter</t>
  </si>
  <si>
    <t>Selskabsskatter</t>
  </si>
  <si>
    <t>Erstatninger</t>
  </si>
  <si>
    <t>Gasdisponering - elproduktionsanlæg, Konstruktioner</t>
  </si>
  <si>
    <t>Gasdisponering - elproduktionsanlæg, Mek/EL</t>
  </si>
  <si>
    <t>Gasdisponering - elproduktionsanlæg, SRO</t>
  </si>
  <si>
    <t>Brønde</t>
  </si>
  <si>
    <t>Ledningsnet ≤ Ø 200 mm</t>
  </si>
  <si>
    <t>Ø 1000 mm &lt; Ledningsnet ≤ Ø 1200 mm</t>
  </si>
  <si>
    <t>Ø 200 mm &lt; Ledningsnet ≤ Ø 500 mm</t>
  </si>
  <si>
    <t>Ø 500 mm &lt; Ledningsnet ≤ Ø 800 mm</t>
  </si>
  <si>
    <t>Ø 800 mm &lt; Ledningsnet ≤ Ø 1000 mm</t>
  </si>
  <si>
    <t>Indløb-/udløbsarrangement</t>
  </si>
  <si>
    <t>Jordbassin Klasse A</t>
  </si>
  <si>
    <t>Forsinkelsesbassiner, lukkede uden automatisk rensning og SRO Miljøklasse B (mindre end 1.000 m3)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</si>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</sst>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3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3" t="s">
        <v>123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4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8" t="s">
        <v>31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30</v>
      </c>
      <c r="D14" s="78" t="s">
        <v>95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94</v>
      </c>
      <c r="D15" s="78" t="s">
        <v>97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96</v>
      </c>
      <c r="D16" s="78" t="s">
        <v>124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6</v>
      </c>
      <c r="D17" s="84" t="s">
        <v>98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7</v>
      </c>
      <c r="D18" s="84" t="s">
        <v>99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8</v>
      </c>
      <c r="D19" s="69" t="s">
        <v>103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9</v>
      </c>
      <c r="D20" s="72" t="s">
        <v>100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10</v>
      </c>
      <c r="D21" s="72" t="s">
        <v>122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</v>
      </c>
      <c r="D22" s="72" t="s">
        <v>104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12</v>
      </c>
      <c r="D23" s="75" t="s">
        <v>28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26</v>
      </c>
      <c r="D24" s="66" t="s">
        <v>101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6" t="s">
        <v>54</v>
      </c>
      <c r="E25" s="67"/>
      <c r="F25" s="67"/>
      <c r="G25" s="6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6" t="s">
        <v>105</v>
      </c>
      <c r="C9" s="97"/>
      <c r="D9" s="98"/>
      <c r="E9" s="11">
        <v>162814639.04586476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134105651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30000</v>
      </c>
      <c r="F11" s="22" t="s">
        <v>2</v>
      </c>
      <c r="G11" s="14"/>
      <c r="H11" s="28"/>
      <c r="I11" s="1"/>
    </row>
    <row r="12" spans="1:9" x14ac:dyDescent="0.25">
      <c r="A12" s="1"/>
      <c r="B12" s="44" t="s">
        <v>107</v>
      </c>
      <c r="C12" s="45"/>
      <c r="D12" s="46"/>
      <c r="E12" s="17">
        <f>E9-(E10-E11)</f>
        <v>28738988.045864761</v>
      </c>
      <c r="F12" s="25" t="s">
        <v>2</v>
      </c>
      <c r="G12" s="17">
        <f>E12</f>
        <v>28738988.045864761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90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39" x14ac:dyDescent="0.25">
      <c r="A10" s="1"/>
      <c r="B10" s="60" t="s">
        <v>138</v>
      </c>
      <c r="C10" s="61">
        <v>60</v>
      </c>
      <c r="D10" s="11">
        <v>697690.09</v>
      </c>
      <c r="E10" s="11">
        <f>D10/C10</f>
        <v>11628.168166666666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60" t="s">
        <v>139</v>
      </c>
      <c r="C11" s="61">
        <v>20</v>
      </c>
      <c r="D11" s="11">
        <v>4743289.95</v>
      </c>
      <c r="E11" s="11">
        <f t="shared" ref="E11:E52" si="0">D11/C11</f>
        <v>237164.4975</v>
      </c>
      <c r="F11" s="11">
        <v>0</v>
      </c>
      <c r="G11" s="11">
        <v>0</v>
      </c>
      <c r="H11" s="22" t="s">
        <v>2</v>
      </c>
      <c r="I11" s="1"/>
    </row>
    <row r="12" spans="1:9" ht="26.25" x14ac:dyDescent="0.25">
      <c r="A12" s="1"/>
      <c r="B12" s="60" t="s">
        <v>140</v>
      </c>
      <c r="C12" s="61">
        <v>10</v>
      </c>
      <c r="D12" s="11">
        <v>44528.69</v>
      </c>
      <c r="E12" s="11">
        <f t="shared" si="0"/>
        <v>4452.8690000000006</v>
      </c>
      <c r="F12" s="11">
        <v>0</v>
      </c>
      <c r="G12" s="11">
        <v>0</v>
      </c>
      <c r="H12" s="22" t="s">
        <v>2</v>
      </c>
      <c r="I12" s="1"/>
    </row>
    <row r="13" spans="1:9" x14ac:dyDescent="0.25">
      <c r="A13" s="1"/>
      <c r="B13" s="60" t="s">
        <v>141</v>
      </c>
      <c r="C13" s="61">
        <v>75</v>
      </c>
      <c r="D13" s="11">
        <v>3571149.07</v>
      </c>
      <c r="E13" s="11">
        <f t="shared" si="0"/>
        <v>47615.320933333329</v>
      </c>
      <c r="F13" s="11">
        <v>0</v>
      </c>
      <c r="G13" s="11">
        <v>0</v>
      </c>
      <c r="H13" s="22" t="s">
        <v>2</v>
      </c>
      <c r="I13" s="1"/>
    </row>
    <row r="14" spans="1:9" x14ac:dyDescent="0.25">
      <c r="A14" s="1"/>
      <c r="B14" s="60" t="s">
        <v>142</v>
      </c>
      <c r="C14" s="61">
        <v>75</v>
      </c>
      <c r="D14" s="11">
        <v>1553686.41</v>
      </c>
      <c r="E14" s="11">
        <f t="shared" si="0"/>
        <v>20715.818799999997</v>
      </c>
      <c r="F14" s="11">
        <v>0</v>
      </c>
      <c r="G14" s="11">
        <v>0</v>
      </c>
      <c r="H14" s="22" t="s">
        <v>2</v>
      </c>
      <c r="I14" s="1"/>
    </row>
    <row r="15" spans="1:9" ht="26.25" x14ac:dyDescent="0.25">
      <c r="A15" s="1"/>
      <c r="B15" s="60" t="s">
        <v>143</v>
      </c>
      <c r="C15" s="61">
        <v>75</v>
      </c>
      <c r="D15" s="11">
        <v>476674.86</v>
      </c>
      <c r="E15" s="11">
        <f t="shared" si="0"/>
        <v>6355.6647999999996</v>
      </c>
      <c r="F15" s="11">
        <v>0</v>
      </c>
      <c r="G15" s="11">
        <v>0</v>
      </c>
      <c r="H15" s="22" t="s">
        <v>2</v>
      </c>
      <c r="I15" s="1"/>
    </row>
    <row r="16" spans="1:9" ht="26.25" x14ac:dyDescent="0.25">
      <c r="A16" s="1"/>
      <c r="B16" s="60" t="s">
        <v>144</v>
      </c>
      <c r="C16" s="61">
        <v>75</v>
      </c>
      <c r="D16" s="11">
        <v>376648.73</v>
      </c>
      <c r="E16" s="11">
        <f t="shared" si="0"/>
        <v>5021.9830666666667</v>
      </c>
      <c r="F16" s="11">
        <v>0</v>
      </c>
      <c r="G16" s="11">
        <v>0</v>
      </c>
      <c r="H16" s="22" t="s">
        <v>2</v>
      </c>
      <c r="I16" s="1"/>
    </row>
    <row r="17" spans="1:9" ht="26.25" x14ac:dyDescent="0.25">
      <c r="A17" s="1"/>
      <c r="B17" s="60" t="s">
        <v>145</v>
      </c>
      <c r="C17" s="61">
        <v>75</v>
      </c>
      <c r="D17" s="11">
        <v>868636.82</v>
      </c>
      <c r="E17" s="11">
        <f t="shared" si="0"/>
        <v>11581.824266666667</v>
      </c>
      <c r="F17" s="11">
        <v>0</v>
      </c>
      <c r="G17" s="11">
        <v>0</v>
      </c>
      <c r="H17" s="22" t="s">
        <v>2</v>
      </c>
      <c r="I17" s="1"/>
    </row>
    <row r="18" spans="1:9" ht="26.25" x14ac:dyDescent="0.25">
      <c r="A18" s="1"/>
      <c r="B18" s="60" t="s">
        <v>146</v>
      </c>
      <c r="C18" s="61">
        <v>75</v>
      </c>
      <c r="D18" s="11">
        <v>42492.75</v>
      </c>
      <c r="E18" s="11">
        <f t="shared" si="0"/>
        <v>566.57000000000005</v>
      </c>
      <c r="F18" s="11">
        <v>0</v>
      </c>
      <c r="G18" s="11">
        <v>0</v>
      </c>
      <c r="H18" s="22" t="s">
        <v>2</v>
      </c>
      <c r="I18" s="1"/>
    </row>
    <row r="19" spans="1:9" x14ac:dyDescent="0.25">
      <c r="A19" s="1"/>
      <c r="B19" s="60" t="s">
        <v>141</v>
      </c>
      <c r="C19" s="61">
        <v>75</v>
      </c>
      <c r="D19" s="11">
        <v>9894.48</v>
      </c>
      <c r="E19" s="11">
        <f t="shared" si="0"/>
        <v>131.9264</v>
      </c>
      <c r="F19" s="11">
        <v>0</v>
      </c>
      <c r="G19" s="11">
        <v>0</v>
      </c>
      <c r="H19" s="22" t="s">
        <v>2</v>
      </c>
      <c r="I19" s="1"/>
    </row>
    <row r="20" spans="1:9" x14ac:dyDescent="0.25">
      <c r="A20" s="1"/>
      <c r="B20" s="60" t="s">
        <v>147</v>
      </c>
      <c r="C20" s="61">
        <v>75</v>
      </c>
      <c r="D20" s="11">
        <v>96531.54</v>
      </c>
      <c r="E20" s="11">
        <f t="shared" si="0"/>
        <v>1287.0871999999999</v>
      </c>
      <c r="F20" s="11">
        <v>0</v>
      </c>
      <c r="G20" s="11">
        <v>0</v>
      </c>
      <c r="H20" s="22" t="s">
        <v>2</v>
      </c>
      <c r="I20" s="1"/>
    </row>
    <row r="21" spans="1:9" x14ac:dyDescent="0.25">
      <c r="A21" s="1"/>
      <c r="B21" s="60" t="s">
        <v>148</v>
      </c>
      <c r="C21" s="61">
        <v>50</v>
      </c>
      <c r="D21" s="11">
        <v>3085630.73</v>
      </c>
      <c r="E21" s="11">
        <f t="shared" si="0"/>
        <v>61712.614600000001</v>
      </c>
      <c r="F21" s="11">
        <v>0</v>
      </c>
      <c r="G21" s="11">
        <v>0</v>
      </c>
      <c r="H21" s="22" t="s">
        <v>2</v>
      </c>
      <c r="I21" s="1"/>
    </row>
    <row r="22" spans="1:9" x14ac:dyDescent="0.25">
      <c r="A22" s="1"/>
      <c r="B22" s="60" t="s">
        <v>142</v>
      </c>
      <c r="C22" s="61">
        <v>75</v>
      </c>
      <c r="D22" s="11">
        <v>147349.35</v>
      </c>
      <c r="E22" s="11">
        <f t="shared" si="0"/>
        <v>1964.6580000000001</v>
      </c>
      <c r="F22" s="11">
        <v>0</v>
      </c>
      <c r="G22" s="11">
        <v>0</v>
      </c>
      <c r="H22" s="22" t="s">
        <v>2</v>
      </c>
      <c r="I22" s="1"/>
    </row>
    <row r="23" spans="1:9" ht="26.25" x14ac:dyDescent="0.25">
      <c r="A23" s="1"/>
      <c r="B23" s="60" t="s">
        <v>143</v>
      </c>
      <c r="C23" s="61">
        <v>75</v>
      </c>
      <c r="D23" s="11">
        <v>478988.28</v>
      </c>
      <c r="E23" s="11">
        <f t="shared" si="0"/>
        <v>6386.5104000000001</v>
      </c>
      <c r="F23" s="11">
        <v>0</v>
      </c>
      <c r="G23" s="11">
        <v>0</v>
      </c>
      <c r="H23" s="22" t="s">
        <v>2</v>
      </c>
      <c r="I23" s="1"/>
    </row>
    <row r="24" spans="1:9" ht="26.25" x14ac:dyDescent="0.25">
      <c r="A24" s="1"/>
      <c r="B24" s="60" t="s">
        <v>144</v>
      </c>
      <c r="C24" s="61">
        <v>75</v>
      </c>
      <c r="D24" s="11">
        <v>70295.210000000006</v>
      </c>
      <c r="E24" s="11">
        <f t="shared" si="0"/>
        <v>937.26946666666674</v>
      </c>
      <c r="F24" s="11">
        <v>0</v>
      </c>
      <c r="G24" s="11">
        <v>0</v>
      </c>
      <c r="H24" s="22" t="s">
        <v>2</v>
      </c>
      <c r="I24" s="1"/>
    </row>
    <row r="25" spans="1:9" ht="26.25" x14ac:dyDescent="0.25">
      <c r="A25" s="1"/>
      <c r="B25" s="60" t="s">
        <v>145</v>
      </c>
      <c r="C25" s="61">
        <v>75</v>
      </c>
      <c r="D25" s="11">
        <v>304332.08</v>
      </c>
      <c r="E25" s="11">
        <f t="shared" si="0"/>
        <v>4057.7610666666669</v>
      </c>
      <c r="F25" s="11">
        <v>0</v>
      </c>
      <c r="G25" s="11">
        <v>0</v>
      </c>
      <c r="H25" s="22" t="s">
        <v>2</v>
      </c>
      <c r="I25" s="1"/>
    </row>
    <row r="26" spans="1:9" ht="26.25" x14ac:dyDescent="0.25">
      <c r="A26" s="1"/>
      <c r="B26" s="60" t="s">
        <v>146</v>
      </c>
      <c r="C26" s="61">
        <v>75</v>
      </c>
      <c r="D26" s="11">
        <v>99792.36</v>
      </c>
      <c r="E26" s="11">
        <f t="shared" si="0"/>
        <v>1330.5648000000001</v>
      </c>
      <c r="F26" s="11">
        <v>0</v>
      </c>
      <c r="G26" s="11">
        <v>0</v>
      </c>
      <c r="H26" s="22" t="s">
        <v>2</v>
      </c>
      <c r="I26" s="1"/>
    </row>
    <row r="27" spans="1:9" x14ac:dyDescent="0.25">
      <c r="A27" s="1"/>
      <c r="B27" s="60" t="s">
        <v>141</v>
      </c>
      <c r="C27" s="61">
        <v>75</v>
      </c>
      <c r="D27" s="11">
        <v>953072.64000000001</v>
      </c>
      <c r="E27" s="11">
        <f t="shared" si="0"/>
        <v>12707.635200000001</v>
      </c>
      <c r="F27" s="11">
        <v>0</v>
      </c>
      <c r="G27" s="11">
        <v>0</v>
      </c>
      <c r="H27" s="22" t="s">
        <v>2</v>
      </c>
      <c r="I27" s="1"/>
    </row>
    <row r="28" spans="1:9" x14ac:dyDescent="0.25">
      <c r="A28" s="1"/>
      <c r="B28" s="60" t="s">
        <v>142</v>
      </c>
      <c r="C28" s="61">
        <v>75</v>
      </c>
      <c r="D28" s="11">
        <v>2576124.08</v>
      </c>
      <c r="E28" s="11">
        <f t="shared" si="0"/>
        <v>34348.321066666671</v>
      </c>
      <c r="F28" s="11">
        <v>0</v>
      </c>
      <c r="G28" s="11">
        <v>0</v>
      </c>
      <c r="H28" s="22" t="s">
        <v>2</v>
      </c>
      <c r="I28" s="1"/>
    </row>
    <row r="29" spans="1:9" ht="26.25" x14ac:dyDescent="0.25">
      <c r="A29" s="1"/>
      <c r="B29" s="60" t="s">
        <v>144</v>
      </c>
      <c r="C29" s="61">
        <v>75</v>
      </c>
      <c r="D29" s="11">
        <v>1536906.26</v>
      </c>
      <c r="E29" s="11">
        <f t="shared" si="0"/>
        <v>20492.083466666667</v>
      </c>
      <c r="F29" s="11">
        <v>0</v>
      </c>
      <c r="G29" s="11">
        <v>0</v>
      </c>
      <c r="H29" s="22" t="s">
        <v>2</v>
      </c>
      <c r="I29" s="1"/>
    </row>
    <row r="30" spans="1:9" ht="26.25" x14ac:dyDescent="0.25">
      <c r="A30" s="1"/>
      <c r="B30" s="60" t="s">
        <v>145</v>
      </c>
      <c r="C30" s="61">
        <v>75</v>
      </c>
      <c r="D30" s="11">
        <v>1745618.96</v>
      </c>
      <c r="E30" s="11">
        <f t="shared" si="0"/>
        <v>23274.919466666666</v>
      </c>
      <c r="F30" s="11">
        <v>0</v>
      </c>
      <c r="G30" s="11">
        <v>0</v>
      </c>
      <c r="H30" s="22" t="s">
        <v>2</v>
      </c>
      <c r="I30" s="1"/>
    </row>
    <row r="31" spans="1:9" x14ac:dyDescent="0.25">
      <c r="A31" s="1"/>
      <c r="B31" s="60" t="s">
        <v>141</v>
      </c>
      <c r="C31" s="61">
        <v>75</v>
      </c>
      <c r="D31" s="11">
        <v>242265.08</v>
      </c>
      <c r="E31" s="11">
        <f t="shared" si="0"/>
        <v>3230.2010666666665</v>
      </c>
      <c r="F31" s="11">
        <v>0</v>
      </c>
      <c r="G31" s="11">
        <v>0</v>
      </c>
      <c r="H31" s="22" t="s">
        <v>2</v>
      </c>
      <c r="I31" s="1"/>
    </row>
    <row r="32" spans="1:9" ht="51.75" x14ac:dyDescent="0.25">
      <c r="A32" s="1"/>
      <c r="B32" s="60" t="s">
        <v>149</v>
      </c>
      <c r="C32" s="61">
        <v>50</v>
      </c>
      <c r="D32" s="11">
        <v>1270262.6299999999</v>
      </c>
      <c r="E32" s="11">
        <f t="shared" si="0"/>
        <v>25405.252599999996</v>
      </c>
      <c r="F32" s="11">
        <v>0</v>
      </c>
      <c r="G32" s="11">
        <v>0</v>
      </c>
      <c r="H32" s="22" t="s">
        <v>2</v>
      </c>
      <c r="I32" s="1"/>
    </row>
    <row r="33" spans="1:9" x14ac:dyDescent="0.25">
      <c r="A33" s="1"/>
      <c r="B33" s="60" t="s">
        <v>142</v>
      </c>
      <c r="C33" s="61">
        <v>75</v>
      </c>
      <c r="D33" s="11">
        <v>75604.42</v>
      </c>
      <c r="E33" s="11">
        <f t="shared" si="0"/>
        <v>1008.0589333333334</v>
      </c>
      <c r="F33" s="11">
        <v>0</v>
      </c>
      <c r="G33" s="11">
        <v>0</v>
      </c>
      <c r="H33" s="22" t="s">
        <v>2</v>
      </c>
      <c r="I33" s="1"/>
    </row>
    <row r="34" spans="1:9" ht="26.25" x14ac:dyDescent="0.25">
      <c r="A34" s="1"/>
      <c r="B34" s="60" t="s">
        <v>144</v>
      </c>
      <c r="C34" s="61">
        <v>75</v>
      </c>
      <c r="D34" s="11">
        <v>123342.47</v>
      </c>
      <c r="E34" s="11">
        <f t="shared" si="0"/>
        <v>1644.5662666666667</v>
      </c>
      <c r="F34" s="11">
        <v>0</v>
      </c>
      <c r="G34" s="11">
        <v>0</v>
      </c>
      <c r="H34" s="22" t="s">
        <v>2</v>
      </c>
      <c r="I34" s="1"/>
    </row>
    <row r="35" spans="1:9" x14ac:dyDescent="0.25">
      <c r="A35" s="1"/>
      <c r="B35" s="60" t="s">
        <v>142</v>
      </c>
      <c r="C35" s="61">
        <v>75</v>
      </c>
      <c r="D35" s="11">
        <v>102216.82</v>
      </c>
      <c r="E35" s="11">
        <f t="shared" si="0"/>
        <v>1362.8909333333334</v>
      </c>
      <c r="F35" s="11">
        <v>0</v>
      </c>
      <c r="G35" s="11">
        <v>0</v>
      </c>
      <c r="H35" s="22" t="s">
        <v>2</v>
      </c>
      <c r="I35" s="1"/>
    </row>
    <row r="36" spans="1:9" ht="26.25" x14ac:dyDescent="0.25">
      <c r="A36" s="1"/>
      <c r="B36" s="60" t="s">
        <v>150</v>
      </c>
      <c r="C36" s="61">
        <v>30</v>
      </c>
      <c r="D36" s="11">
        <v>31411.85</v>
      </c>
      <c r="E36" s="11">
        <f t="shared" si="0"/>
        <v>1047.0616666666667</v>
      </c>
      <c r="F36" s="11">
        <v>0</v>
      </c>
      <c r="G36" s="11">
        <v>0</v>
      </c>
      <c r="H36" s="22" t="s">
        <v>2</v>
      </c>
      <c r="I36" s="1"/>
    </row>
    <row r="37" spans="1:9" x14ac:dyDescent="0.25">
      <c r="A37" s="1"/>
      <c r="B37" s="60" t="s">
        <v>141</v>
      </c>
      <c r="C37" s="61">
        <v>75</v>
      </c>
      <c r="D37" s="11">
        <v>355081.61</v>
      </c>
      <c r="E37" s="11">
        <f t="shared" si="0"/>
        <v>4734.4214666666667</v>
      </c>
      <c r="F37" s="11">
        <v>0</v>
      </c>
      <c r="G37" s="11">
        <v>0</v>
      </c>
      <c r="H37" s="22" t="s">
        <v>2</v>
      </c>
      <c r="I37" s="1"/>
    </row>
    <row r="38" spans="1:9" x14ac:dyDescent="0.25">
      <c r="A38" s="1"/>
      <c r="B38" s="60" t="s">
        <v>142</v>
      </c>
      <c r="C38" s="61">
        <v>75</v>
      </c>
      <c r="D38" s="11">
        <v>3687820.55</v>
      </c>
      <c r="E38" s="11">
        <f t="shared" si="0"/>
        <v>49170.940666666662</v>
      </c>
      <c r="F38" s="11">
        <v>0</v>
      </c>
      <c r="G38" s="11">
        <v>0</v>
      </c>
      <c r="H38" s="22" t="s">
        <v>2</v>
      </c>
      <c r="I38" s="1"/>
    </row>
    <row r="39" spans="1:9" x14ac:dyDescent="0.25">
      <c r="A39" s="1"/>
      <c r="B39" s="60" t="s">
        <v>141</v>
      </c>
      <c r="C39" s="61">
        <v>75</v>
      </c>
      <c r="D39" s="11">
        <v>571845.12</v>
      </c>
      <c r="E39" s="11">
        <f t="shared" si="0"/>
        <v>7624.6016</v>
      </c>
      <c r="F39" s="11">
        <v>0</v>
      </c>
      <c r="G39" s="11">
        <v>0</v>
      </c>
      <c r="H39" s="22" t="s">
        <v>2</v>
      </c>
      <c r="I39" s="1"/>
    </row>
    <row r="40" spans="1:9" x14ac:dyDescent="0.25">
      <c r="A40" s="1"/>
      <c r="B40" s="60" t="s">
        <v>142</v>
      </c>
      <c r="C40" s="61">
        <v>75</v>
      </c>
      <c r="D40" s="11">
        <v>1247698.45</v>
      </c>
      <c r="E40" s="11">
        <f t="shared" si="0"/>
        <v>16635.979333333333</v>
      </c>
      <c r="F40" s="11">
        <v>0</v>
      </c>
      <c r="G40" s="11">
        <v>0</v>
      </c>
      <c r="H40" s="22" t="s">
        <v>2</v>
      </c>
      <c r="I40" s="1"/>
    </row>
    <row r="41" spans="1:9" x14ac:dyDescent="0.25">
      <c r="A41" s="1"/>
      <c r="B41" s="60" t="s">
        <v>141</v>
      </c>
      <c r="C41" s="61">
        <v>75</v>
      </c>
      <c r="D41" s="11">
        <v>334401.93</v>
      </c>
      <c r="E41" s="11">
        <f t="shared" si="0"/>
        <v>4458.6923999999999</v>
      </c>
      <c r="F41" s="11">
        <v>0</v>
      </c>
      <c r="G41" s="11">
        <v>0</v>
      </c>
      <c r="H41" s="22" t="s">
        <v>2</v>
      </c>
      <c r="I41" s="1"/>
    </row>
    <row r="42" spans="1:9" x14ac:dyDescent="0.25">
      <c r="A42" s="1"/>
      <c r="B42" s="60" t="s">
        <v>142</v>
      </c>
      <c r="C42" s="61">
        <v>75</v>
      </c>
      <c r="D42" s="11">
        <v>1149605.51</v>
      </c>
      <c r="E42" s="11">
        <f t="shared" si="0"/>
        <v>15328.073466666667</v>
      </c>
      <c r="F42" s="11">
        <v>0</v>
      </c>
      <c r="G42" s="11">
        <v>0</v>
      </c>
      <c r="H42" s="22" t="s">
        <v>2</v>
      </c>
      <c r="I42" s="1"/>
    </row>
    <row r="43" spans="1:9" x14ac:dyDescent="0.25">
      <c r="A43" s="1"/>
      <c r="B43" s="60" t="s">
        <v>141</v>
      </c>
      <c r="C43" s="61">
        <v>75</v>
      </c>
      <c r="D43" s="11">
        <v>1459946</v>
      </c>
      <c r="E43" s="11">
        <f t="shared" si="0"/>
        <v>19465.946666666667</v>
      </c>
      <c r="F43" s="11">
        <v>0</v>
      </c>
      <c r="G43" s="11">
        <v>0</v>
      </c>
      <c r="H43" s="22" t="s">
        <v>2</v>
      </c>
      <c r="I43" s="1"/>
    </row>
    <row r="44" spans="1:9" x14ac:dyDescent="0.25">
      <c r="A44" s="1"/>
      <c r="B44" s="60" t="s">
        <v>142</v>
      </c>
      <c r="C44" s="61">
        <v>75</v>
      </c>
      <c r="D44" s="11">
        <v>3232731</v>
      </c>
      <c r="E44" s="11">
        <f t="shared" si="0"/>
        <v>43103.08</v>
      </c>
      <c r="F44" s="11">
        <v>0</v>
      </c>
      <c r="G44" s="11">
        <v>0</v>
      </c>
      <c r="H44" s="22" t="s">
        <v>2</v>
      </c>
      <c r="I44" s="1"/>
    </row>
    <row r="45" spans="1:9" ht="26.25" x14ac:dyDescent="0.25">
      <c r="A45" s="1"/>
      <c r="B45" s="60" t="s">
        <v>144</v>
      </c>
      <c r="C45" s="61">
        <v>75</v>
      </c>
      <c r="D45" s="11">
        <v>2055085</v>
      </c>
      <c r="E45" s="11">
        <f t="shared" si="0"/>
        <v>27401.133333333335</v>
      </c>
      <c r="F45" s="11">
        <v>0</v>
      </c>
      <c r="G45" s="11">
        <v>0</v>
      </c>
      <c r="H45" s="22" t="s">
        <v>2</v>
      </c>
      <c r="I45" s="1"/>
    </row>
    <row r="46" spans="1:9" ht="26.25" x14ac:dyDescent="0.25">
      <c r="A46" s="1"/>
      <c r="B46" s="60" t="s">
        <v>145</v>
      </c>
      <c r="C46" s="61">
        <v>75</v>
      </c>
      <c r="D46" s="11">
        <v>1190462</v>
      </c>
      <c r="E46" s="11">
        <f t="shared" si="0"/>
        <v>15872.826666666666</v>
      </c>
      <c r="F46" s="11">
        <v>0</v>
      </c>
      <c r="G46" s="11">
        <v>0</v>
      </c>
      <c r="H46" s="22" t="s">
        <v>2</v>
      </c>
      <c r="I46" s="1"/>
    </row>
    <row r="47" spans="1:9" ht="26.25" x14ac:dyDescent="0.25">
      <c r="A47" s="1"/>
      <c r="B47" s="60" t="s">
        <v>151</v>
      </c>
      <c r="C47" s="61">
        <v>50</v>
      </c>
      <c r="D47" s="11">
        <v>58158</v>
      </c>
      <c r="E47" s="11">
        <f t="shared" si="0"/>
        <v>1163.1600000000001</v>
      </c>
      <c r="F47" s="11">
        <v>0</v>
      </c>
      <c r="G47" s="11">
        <v>0</v>
      </c>
      <c r="H47" s="22" t="s">
        <v>2</v>
      </c>
      <c r="I47" s="1"/>
    </row>
    <row r="48" spans="1:9" ht="26.25" x14ac:dyDescent="0.25">
      <c r="A48" s="1"/>
      <c r="B48" s="60" t="s">
        <v>152</v>
      </c>
      <c r="C48" s="61">
        <v>20</v>
      </c>
      <c r="D48" s="11">
        <v>39146</v>
      </c>
      <c r="E48" s="11">
        <f t="shared" si="0"/>
        <v>1957.3</v>
      </c>
      <c r="F48" s="11">
        <v>0</v>
      </c>
      <c r="G48" s="11">
        <v>0</v>
      </c>
      <c r="H48" s="22" t="s">
        <v>2</v>
      </c>
      <c r="I48" s="1"/>
    </row>
    <row r="49" spans="1:9" ht="26.25" x14ac:dyDescent="0.25">
      <c r="A49" s="1"/>
      <c r="B49" s="60" t="s">
        <v>153</v>
      </c>
      <c r="C49" s="61">
        <v>10</v>
      </c>
      <c r="D49" s="11">
        <v>21380</v>
      </c>
      <c r="E49" s="11">
        <f t="shared" si="0"/>
        <v>2138</v>
      </c>
      <c r="F49" s="11">
        <v>0</v>
      </c>
      <c r="G49" s="11">
        <v>0</v>
      </c>
      <c r="H49" s="22" t="s">
        <v>2</v>
      </c>
      <c r="I49" s="1"/>
    </row>
    <row r="50" spans="1:9" ht="39" x14ac:dyDescent="0.25">
      <c r="A50" s="1"/>
      <c r="B50" s="60" t="s">
        <v>154</v>
      </c>
      <c r="C50" s="61">
        <v>50</v>
      </c>
      <c r="D50" s="11">
        <v>169567</v>
      </c>
      <c r="E50" s="11">
        <f t="shared" si="0"/>
        <v>3391.34</v>
      </c>
      <c r="F50" s="11">
        <v>0</v>
      </c>
      <c r="G50" s="11">
        <v>0</v>
      </c>
      <c r="H50" s="22" t="s">
        <v>2</v>
      </c>
      <c r="I50" s="1"/>
    </row>
    <row r="51" spans="1:9" ht="39" x14ac:dyDescent="0.25">
      <c r="A51" s="1"/>
      <c r="B51" s="60" t="s">
        <v>155</v>
      </c>
      <c r="C51" s="61">
        <v>20</v>
      </c>
      <c r="D51" s="11">
        <v>128774</v>
      </c>
      <c r="E51" s="11">
        <f t="shared" si="0"/>
        <v>6438.7</v>
      </c>
      <c r="F51" s="11">
        <v>0</v>
      </c>
      <c r="G51" s="11">
        <v>0</v>
      </c>
      <c r="H51" s="22" t="s">
        <v>2</v>
      </c>
      <c r="I51" s="1"/>
    </row>
    <row r="52" spans="1:9" ht="26.25" x14ac:dyDescent="0.25">
      <c r="A52" s="1"/>
      <c r="B52" s="60" t="s">
        <v>156</v>
      </c>
      <c r="C52" s="61">
        <v>10</v>
      </c>
      <c r="D52" s="11">
        <v>42705</v>
      </c>
      <c r="E52" s="11">
        <f t="shared" si="0"/>
        <v>4270.5</v>
      </c>
      <c r="F52" s="11">
        <v>0</v>
      </c>
      <c r="G52" s="11">
        <v>0</v>
      </c>
      <c r="H52" s="22" t="s">
        <v>2</v>
      </c>
      <c r="I52" s="1"/>
    </row>
    <row r="53" spans="1:9" ht="26.25" x14ac:dyDescent="0.25">
      <c r="A53" s="1"/>
      <c r="B53" s="60" t="s">
        <v>144</v>
      </c>
      <c r="C53" s="61">
        <v>75</v>
      </c>
      <c r="D53" s="11">
        <v>20125</v>
      </c>
      <c r="E53" s="11">
        <f t="shared" ref="E53:E54" si="1">D53/C53</f>
        <v>268.33333333333331</v>
      </c>
      <c r="F53" s="11">
        <v>0</v>
      </c>
      <c r="G53" s="11">
        <v>0</v>
      </c>
      <c r="H53" s="22" t="s">
        <v>2</v>
      </c>
      <c r="I53" s="1"/>
    </row>
    <row r="54" spans="1:9" ht="26.25" x14ac:dyDescent="0.25">
      <c r="A54" s="1"/>
      <c r="B54" s="60" t="s">
        <v>144</v>
      </c>
      <c r="C54" s="61">
        <v>75</v>
      </c>
      <c r="D54" s="11">
        <v>1213</v>
      </c>
      <c r="E54" s="11">
        <f t="shared" si="1"/>
        <v>16.173333333333332</v>
      </c>
      <c r="F54" s="11">
        <v>0</v>
      </c>
      <c r="G54" s="11">
        <v>0</v>
      </c>
      <c r="H54" s="22" t="s">
        <v>2</v>
      </c>
      <c r="I54" s="1"/>
    </row>
    <row r="55" spans="1:9" x14ac:dyDescent="0.25">
      <c r="A55" s="1"/>
      <c r="B55" s="89" t="s">
        <v>131</v>
      </c>
      <c r="C55" s="90"/>
      <c r="D55" s="91"/>
      <c r="E55" s="20">
        <f>SUM(E10:E54)</f>
        <v>770871.3014</v>
      </c>
      <c r="F55" s="20">
        <f>SUM(F10:F54)</f>
        <v>0</v>
      </c>
      <c r="G55" s="20">
        <f>SUM(G10:G54)</f>
        <v>0</v>
      </c>
      <c r="H55" s="21" t="s">
        <v>2</v>
      </c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</sheetData>
  <sheetProtection password="DFE9" sheet="1" objects="1" scenarios="1"/>
  <mergeCells count="3">
    <mergeCell ref="B3:H4"/>
    <mergeCell ref="B8:H8"/>
    <mergeCell ref="B55:D55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127</v>
      </c>
      <c r="C10" s="56"/>
      <c r="D10" s="57">
        <f>'Fane 8. Anlægsprojekter'!F55</f>
        <v>0</v>
      </c>
      <c r="E10" s="22" t="s">
        <v>2</v>
      </c>
      <c r="F10" s="11">
        <f>SUM('Fane 8. Anlægsprojekter'!E55,'Fane 8. Anlægsprojekter'!G55)</f>
        <v>770871.3014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770871.3014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783899.02639365988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159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158</v>
      </c>
      <c r="C10" s="62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160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3" t="s">
        <v>44</v>
      </c>
      <c r="C9" s="64"/>
      <c r="D9" s="64"/>
      <c r="E9" s="65"/>
      <c r="F9" s="58">
        <v>1.7500000000000002E-2</v>
      </c>
      <c r="G9" s="59"/>
      <c r="H9" s="1"/>
    </row>
    <row r="10" spans="1:8" x14ac:dyDescent="0.25">
      <c r="A10" s="1"/>
      <c r="B10" s="63" t="s">
        <v>45</v>
      </c>
      <c r="C10" s="64"/>
      <c r="D10" s="64"/>
      <c r="E10" s="65"/>
      <c r="F10" s="58">
        <v>1.6899999999999998E-2</v>
      </c>
      <c r="G10" s="59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3" t="s">
        <v>13</v>
      </c>
      <c r="C14" s="64"/>
      <c r="D14" s="64"/>
      <c r="E14" s="65"/>
      <c r="F14" s="58">
        <v>1.6766227488574311E-2</v>
      </c>
      <c r="G14" s="59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2" t="s">
        <v>49</v>
      </c>
      <c r="C9" s="7">
        <f>'Fane 3. Omkostninger i ØR2018'!G13</f>
        <v>144973200.8864997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3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3" t="s">
        <v>63</v>
      </c>
      <c r="C11" s="11">
        <f>'Fane 9. Tillæg'!F12</f>
        <v>783899.02639365988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3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3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3" t="s">
        <v>37</v>
      </c>
      <c r="C14" s="11">
        <f>C9*Prisudvikling2018+SUM(C10:C13)*Prisudvikling2019</f>
        <v>2550278.9090597979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3" t="s">
        <v>13</v>
      </c>
      <c r="C15" s="11">
        <f>-SUM(C9:C14)*IndividueltKrav</f>
        <v>-2486555.2515630345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3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-880493.12238073628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62</v>
      </c>
      <c r="C17" s="11">
        <f>-(('Fane 5. Generelt eff. krav'!G12-'Fane 5. Generelt eff. krav'!G11)*(1+Prisudvikling2018)*GenereltKravAnlæg2018+SUM(C11,C13)*(1+Prisudvikling2019)*GenereltKravAnlæg2019)</f>
        <v>-1886070.8789109788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4" t="s">
        <v>40</v>
      </c>
      <c r="C18" s="17">
        <f>SUM(C9:C17)</f>
        <v>143054259.56909838</v>
      </c>
      <c r="D18" s="18" t="s">
        <v>2</v>
      </c>
      <c r="E18" s="17">
        <f>C18</f>
        <v>143054259.56909838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157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3" t="s">
        <v>22</v>
      </c>
      <c r="C24" s="11">
        <f>'Fane 4. Ikke-påvirkelige omk.'!E16</f>
        <v>7446069.9341055183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3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7446069.9341055183</v>
      </c>
      <c r="D26" s="18" t="s">
        <v>2</v>
      </c>
      <c r="E26" s="17">
        <f>C26</f>
        <v>7446069.9341055183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2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2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3" t="s">
        <v>52</v>
      </c>
      <c r="C30" s="7">
        <v>38227.018952835228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4" t="s">
        <v>53</v>
      </c>
      <c r="C31" s="17">
        <f>SUM(C28:C30)</f>
        <v>38227.018952835228</v>
      </c>
      <c r="D31" s="18" t="s">
        <v>2</v>
      </c>
      <c r="E31" s="17">
        <f>C31</f>
        <v>38227.018952835228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4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150538556.52215675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2" t="s">
        <v>55</v>
      </c>
      <c r="C9" s="7">
        <f>'Fane 2.1. Økonomisk ramme 2019'!E18</f>
        <v>143054259.56909838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SUM(C9:C9)*Prisudvikling2019</f>
        <v>2417616.9867177624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-2439014.5755246137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('Fane 2.1. Økonomisk ramme 2019'!C16/GenereltKravDrift2018-'Fane 2.1. Økonomisk ramme 2019'!C16)*(1+Prisudvikling2019)*GenereltKravDrift2019</f>
        <v>-877465.98702599143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3" t="s">
        <v>62</v>
      </c>
      <c r="C13" s="11">
        <f>(('Fane 2.1. Økonomisk ramme 2019'!C17/GenereltKravAnlæg2018-'Fane 2.1. Økonomisk ramme 2019'!C17)*(1+Prisudvikling2019)*GenereltKravAnlæg2019)</f>
        <v>-926032.83750761684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4" t="s">
        <v>40</v>
      </c>
      <c r="C14" s="17">
        <f>SUM(C9:C13)</f>
        <v>141229363.1557579</v>
      </c>
      <c r="D14" s="18" t="s">
        <v>2</v>
      </c>
      <c r="E14" s="17">
        <f>C14</f>
        <v>141229363.1557579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3" t="s">
        <v>157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3" t="s">
        <v>22</v>
      </c>
      <c r="C20" s="11">
        <f>'Fane 4. Ikke-påvirkelige omk.'!E16*(1+Prisudvikling2019)</f>
        <v>7571908.515991901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7571908.515991901</v>
      </c>
      <c r="D22" s="18" t="s">
        <v>2</v>
      </c>
      <c r="E22" s="17">
        <f>C22</f>
        <v>7571908.515991901</v>
      </c>
      <c r="F22" s="18" t="s">
        <v>2</v>
      </c>
      <c r="G22" s="1"/>
    </row>
    <row r="23" spans="1:7" x14ac:dyDescent="0.25">
      <c r="A23" s="1"/>
      <c r="B23" s="89" t="s">
        <v>15</v>
      </c>
      <c r="C23" s="90"/>
      <c r="D23" s="90"/>
      <c r="E23" s="90"/>
      <c r="F23" s="91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89" t="s">
        <v>116</v>
      </c>
      <c r="C25" s="90"/>
      <c r="D25" s="90"/>
      <c r="E25" s="90"/>
      <c r="F25" s="91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148801271.6717498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2" t="s">
        <v>57</v>
      </c>
      <c r="C9" s="7">
        <f>'Fane 2.2. Økonomisk ramme 2020'!E14</f>
        <v>141229363.1557579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C9*Prisudvikling2019</f>
        <v>2386776.2373323082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-2407900.8640953493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(('Fane 2.2. Økonomisk ramme 2020'!C12/GenereltKravDrift2019-'Fane 2.2. Økonomisk ramme 2020'!C12)*(1+Prisudvikling2019)*GenereltKravDrift2019)</f>
        <v>-874449.25896259595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3" t="s">
        <v>62</v>
      </c>
      <c r="C13" s="11">
        <f>(('Fane 2.2. Økonomisk ramme 2020'!C13/GenereltKravAnlæg2019-'Fane 2.2. Økonomisk ramme 2020'!C13)*(1+Prisudvikling2019)*GenereltKravAnlæg2019)</f>
        <v>-933490.15216708044</v>
      </c>
      <c r="D13" s="8" t="s">
        <v>2</v>
      </c>
      <c r="E13" s="15"/>
      <c r="F13" s="16"/>
      <c r="G13" s="1"/>
    </row>
    <row r="14" spans="1:7" x14ac:dyDescent="0.25">
      <c r="A14" s="1"/>
      <c r="B14" s="44" t="s">
        <v>40</v>
      </c>
      <c r="C14" s="17">
        <f>SUM(C9:C13)</f>
        <v>139400299.11786518</v>
      </c>
      <c r="D14" s="18" t="s">
        <v>2</v>
      </c>
      <c r="E14" s="17">
        <f>C14</f>
        <v>139400299.11786518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3" t="s">
        <v>157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22</v>
      </c>
      <c r="C20" s="11">
        <f>'Fane 4. Ikke-påvirkelige omk.'!E16*(1+Prisudvikling2019)^2</f>
        <v>7699873.7699121628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7699873.7699121628</v>
      </c>
      <c r="D22" s="18" t="s">
        <v>2</v>
      </c>
      <c r="E22" s="17">
        <f>C22</f>
        <v>7699873.7699121628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147100172.88777733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2" t="s">
        <v>58</v>
      </c>
      <c r="C8" s="7">
        <f>'Fane 2.3. Økonomisk ramme 2021'!E14</f>
        <v>139400299.11786518</v>
      </c>
      <c r="D8" s="8" t="s">
        <v>2</v>
      </c>
      <c r="E8" s="9"/>
      <c r="F8" s="10"/>
      <c r="G8" s="1"/>
    </row>
    <row r="9" spans="1:7" ht="15" customHeight="1" x14ac:dyDescent="0.25">
      <c r="A9" s="1"/>
      <c r="B9" s="43" t="s">
        <v>37</v>
      </c>
      <c r="C9" s="11">
        <f>C8*Prisudvikling2019</f>
        <v>2355865.0550919212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3" t="s">
        <v>13</v>
      </c>
      <c r="C10" s="11">
        <f>-SUM(C8:C9)*IndividueltKrav</f>
        <v>-2376716.0964314863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61</v>
      </c>
      <c r="C11" s="11">
        <f>('Fane 2.3. Økonomisk ramme 2021'!C12/GenereltKravDrift2019-'Fane 2.3. Økonomisk ramme 2021'!C12)*(1+Prisudvikling2019)*GenereltKravDrift2019</f>
        <v>-871442.90241028252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3" t="s">
        <v>62</v>
      </c>
      <c r="C12" s="11">
        <f>('Fane 2.3. Økonomisk ramme 2021'!C13/GenereltKravAnlæg2019-'Fane 2.3. Økonomisk ramme 2021'!C13)*(1+Prisudvikling2019)*GenereltKravAnlæg2019</f>
        <v>-941007.52035777725</v>
      </c>
      <c r="D12" s="8" t="s">
        <v>2</v>
      </c>
      <c r="E12" s="15"/>
      <c r="F12" s="16"/>
      <c r="G12" s="1"/>
    </row>
    <row r="13" spans="1:7" x14ac:dyDescent="0.25">
      <c r="A13" s="1"/>
      <c r="B13" s="44" t="s">
        <v>40</v>
      </c>
      <c r="C13" s="17">
        <f>SUM(C8:C12)</f>
        <v>137566997.65375754</v>
      </c>
      <c r="D13" s="18" t="s">
        <v>2</v>
      </c>
      <c r="E13" s="17">
        <f>C13</f>
        <v>137566997.65375754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3" t="s">
        <v>157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3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3" t="s">
        <v>22</v>
      </c>
      <c r="C19" s="11">
        <f>'Fane 4. Ikke-påvirkelige omk.'!E16*(1+Prisudvikling2019)^3</f>
        <v>7830001.6366236769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3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7830001.6366236769</v>
      </c>
      <c r="D21" s="18" t="s">
        <v>2</v>
      </c>
      <c r="E21" s="17">
        <f>C21</f>
        <v>7830001.6366236769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145396999.29038122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32</v>
      </c>
      <c r="C9" s="64"/>
      <c r="D9" s="64"/>
      <c r="E9" s="64"/>
      <c r="F9" s="65"/>
      <c r="G9" s="11">
        <v>152165061.72474971</v>
      </c>
      <c r="H9" s="22" t="s">
        <v>2</v>
      </c>
      <c r="I9" s="1"/>
    </row>
    <row r="10" spans="1:9" x14ac:dyDescent="0.25">
      <c r="A10" s="1"/>
      <c r="B10" s="47" t="s">
        <v>73</v>
      </c>
      <c r="C10" s="64"/>
      <c r="D10" s="64"/>
      <c r="E10" s="64"/>
      <c r="F10" s="65"/>
      <c r="G10" s="11">
        <v>0</v>
      </c>
      <c r="H10" s="22" t="s">
        <v>2</v>
      </c>
      <c r="I10" s="1"/>
    </row>
    <row r="11" spans="1:9" x14ac:dyDescent="0.25">
      <c r="A11" s="1"/>
      <c r="B11" s="47" t="s">
        <v>48</v>
      </c>
      <c r="C11" s="64"/>
      <c r="D11" s="64"/>
      <c r="E11" s="64"/>
      <c r="F11" s="65"/>
      <c r="G11" s="11">
        <v>7191860.838250001</v>
      </c>
      <c r="H11" s="22" t="s">
        <v>2</v>
      </c>
      <c r="I11" s="1"/>
    </row>
    <row r="12" spans="1:9" x14ac:dyDescent="0.25">
      <c r="A12" s="1"/>
      <c r="B12" s="47" t="s">
        <v>75</v>
      </c>
      <c r="C12" s="64"/>
      <c r="D12" s="64"/>
      <c r="E12" s="64"/>
      <c r="F12" s="65"/>
      <c r="G12" s="11">
        <v>0</v>
      </c>
      <c r="H12" s="22" t="s">
        <v>2</v>
      </c>
      <c r="I12" s="1"/>
    </row>
    <row r="13" spans="1:9" ht="26.25" customHeight="1" x14ac:dyDescent="0.25">
      <c r="A13" s="1"/>
      <c r="B13" s="48" t="s">
        <v>59</v>
      </c>
      <c r="C13" s="40"/>
      <c r="D13" s="40"/>
      <c r="E13" s="40"/>
      <c r="F13" s="41"/>
      <c r="G13" s="34">
        <f>G9-G10-G11</f>
        <v>144973200.8864997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4" t="s">
        <v>111</v>
      </c>
      <c r="C9" s="30"/>
      <c r="D9" s="37"/>
      <c r="E9" s="49" t="s">
        <v>47</v>
      </c>
      <c r="F9" s="18"/>
      <c r="G9" s="1"/>
      <c r="H9" s="1"/>
    </row>
    <row r="10" spans="1:8" x14ac:dyDescent="0.25">
      <c r="A10" s="1"/>
      <c r="B10" s="93" t="s">
        <v>133</v>
      </c>
      <c r="C10" s="94"/>
      <c r="D10" s="95"/>
      <c r="E10" s="11">
        <v>1982043</v>
      </c>
      <c r="F10" s="22" t="s">
        <v>2</v>
      </c>
      <c r="G10" s="1"/>
      <c r="H10" s="1"/>
    </row>
    <row r="11" spans="1:8" x14ac:dyDescent="0.25">
      <c r="A11" s="1"/>
      <c r="B11" s="93" t="s">
        <v>134</v>
      </c>
      <c r="C11" s="94"/>
      <c r="D11" s="95"/>
      <c r="E11" s="11">
        <v>53769</v>
      </c>
      <c r="F11" s="22" t="s">
        <v>2</v>
      </c>
      <c r="G11" s="1"/>
      <c r="H11" s="1"/>
    </row>
    <row r="12" spans="1:8" x14ac:dyDescent="0.25">
      <c r="A12" s="1"/>
      <c r="B12" s="93" t="s">
        <v>135</v>
      </c>
      <c r="C12" s="94"/>
      <c r="D12" s="95"/>
      <c r="E12" s="11">
        <v>463221</v>
      </c>
      <c r="F12" s="22" t="s">
        <v>2</v>
      </c>
      <c r="G12" s="1"/>
      <c r="H12" s="1"/>
    </row>
    <row r="13" spans="1:8" x14ac:dyDescent="0.25">
      <c r="A13" s="1"/>
      <c r="B13" s="93" t="s">
        <v>136</v>
      </c>
      <c r="C13" s="94"/>
      <c r="D13" s="95"/>
      <c r="E13" s="11">
        <v>4667085</v>
      </c>
      <c r="F13" s="22" t="s">
        <v>2</v>
      </c>
      <c r="G13" s="1"/>
      <c r="H13" s="1"/>
    </row>
    <row r="14" spans="1:8" x14ac:dyDescent="0.25">
      <c r="A14" s="1"/>
      <c r="B14" s="93" t="s">
        <v>137</v>
      </c>
      <c r="C14" s="94"/>
      <c r="D14" s="95"/>
      <c r="E14" s="11">
        <v>34514</v>
      </c>
      <c r="F14" s="22" t="s">
        <v>2</v>
      </c>
      <c r="G14" s="1"/>
      <c r="H14" s="1"/>
    </row>
    <row r="15" spans="1:8" x14ac:dyDescent="0.25">
      <c r="A15" s="1"/>
      <c r="B15" s="89" t="s">
        <v>128</v>
      </c>
      <c r="C15" s="90"/>
      <c r="D15" s="91"/>
      <c r="E15" s="20">
        <f>SUM(E10:E14)</f>
        <v>7200632</v>
      </c>
      <c r="F15" s="21" t="s">
        <v>2</v>
      </c>
      <c r="G15" s="1"/>
      <c r="H15" s="1"/>
    </row>
    <row r="16" spans="1:8" x14ac:dyDescent="0.25">
      <c r="A16" s="1"/>
      <c r="B16" s="89" t="s">
        <v>129</v>
      </c>
      <c r="C16" s="90"/>
      <c r="D16" s="91"/>
      <c r="E16" s="20">
        <f>E15*(1+Prisudvikling2019)^2</f>
        <v>7446069.9341055183</v>
      </c>
      <c r="F16" s="21" t="s">
        <v>2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8">
    <mergeCell ref="B3:F4"/>
    <mergeCell ref="B15:D15"/>
    <mergeCell ref="B16:D16"/>
    <mergeCell ref="B10:D10"/>
    <mergeCell ref="B13:D13"/>
    <mergeCell ref="B14:D14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82</v>
      </c>
      <c r="C9" s="64"/>
      <c r="D9" s="64"/>
      <c r="E9" s="64"/>
      <c r="F9" s="65"/>
      <c r="G9" s="53">
        <v>883009.70002580993</v>
      </c>
      <c r="H9" s="22" t="s">
        <v>2</v>
      </c>
      <c r="I9" s="1"/>
    </row>
    <row r="10" spans="1:9" x14ac:dyDescent="0.25">
      <c r="A10" s="1"/>
      <c r="B10" s="63" t="s">
        <v>83</v>
      </c>
      <c r="C10" s="64"/>
      <c r="D10" s="64"/>
      <c r="E10" s="64"/>
      <c r="F10" s="65"/>
      <c r="G10" s="53">
        <f>G9/GenereltKravDrift2018</f>
        <v>44150485.001290493</v>
      </c>
      <c r="H10" s="22" t="s">
        <v>2</v>
      </c>
      <c r="I10" s="1"/>
    </row>
    <row r="11" spans="1:9" x14ac:dyDescent="0.25">
      <c r="A11" s="1"/>
      <c r="B11" s="63" t="s">
        <v>84</v>
      </c>
      <c r="C11" s="64"/>
      <c r="D11" s="64"/>
      <c r="E11" s="64"/>
      <c r="F11" s="65"/>
      <c r="G11" s="53">
        <v>1880094.0786641024</v>
      </c>
      <c r="H11" s="22" t="s">
        <v>2</v>
      </c>
      <c r="I11" s="1"/>
    </row>
    <row r="12" spans="1:9" x14ac:dyDescent="0.25">
      <c r="A12" s="1"/>
      <c r="B12" s="63" t="s">
        <v>85</v>
      </c>
      <c r="C12" s="64"/>
      <c r="D12" s="64"/>
      <c r="E12" s="64"/>
      <c r="F12" s="65"/>
      <c r="G12" s="53">
        <f>G11/GenereltKravAnlæg2018</f>
        <v>106220004.44429956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4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4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4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4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17</v>
      </c>
      <c r="C9" s="64"/>
      <c r="D9" s="64"/>
      <c r="E9" s="64"/>
      <c r="F9" s="65"/>
      <c r="G9" s="11">
        <v>-9163240</v>
      </c>
      <c r="H9" s="22" t="s">
        <v>2</v>
      </c>
      <c r="I9" s="1"/>
    </row>
    <row r="10" spans="1:9" x14ac:dyDescent="0.25">
      <c r="A10" s="1"/>
      <c r="B10" s="63" t="s">
        <v>46</v>
      </c>
      <c r="C10" s="64"/>
      <c r="D10" s="64"/>
      <c r="E10" s="64"/>
      <c r="F10" s="65"/>
      <c r="G10" s="11">
        <v>-9163240</v>
      </c>
      <c r="H10" s="22" t="s">
        <v>2</v>
      </c>
      <c r="I10" s="1"/>
    </row>
    <row r="11" spans="1:9" x14ac:dyDescent="0.25">
      <c r="A11" s="1"/>
      <c r="B11" s="50" t="s">
        <v>20</v>
      </c>
      <c r="C11" s="51"/>
      <c r="D11" s="51"/>
      <c r="E11" s="51"/>
      <c r="F11" s="52"/>
      <c r="G11" s="31">
        <f>G9-G10</f>
        <v>0</v>
      </c>
      <c r="H11" s="26" t="s">
        <v>2</v>
      </c>
      <c r="I11" s="1"/>
    </row>
    <row r="12" spans="1:9" x14ac:dyDescent="0.25">
      <c r="A12" s="1"/>
      <c r="B12" s="63" t="s">
        <v>18</v>
      </c>
      <c r="C12" s="64"/>
      <c r="D12" s="64"/>
      <c r="E12" s="64"/>
      <c r="F12" s="65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2018-08-27T13:26:03Z</dcterms:modified>
</cp:coreProperties>
</file>