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Ikke-påvirkelige omk." sheetId="19" r:id="rId7"/>
    <sheet name="Fane 5. Generelt eff. krav" sheetId="30" r:id="rId8"/>
    <sheet name="Fane 6. Hist. over el. underdæk" sheetId="10" r:id="rId9"/>
    <sheet name="Fane 7. Kontrol af ØR2017" sheetId="34" r:id="rId10"/>
    <sheet name="Fane 8. Anlægsprojekter" sheetId="11" r:id="rId11"/>
    <sheet name="Fane 9. Tillæg" sheetId="20" r:id="rId12"/>
    <sheet name="Fane 10. Bortfald" sheetId="21" r:id="rId13"/>
    <sheet name="Fane 11. Nøgletal" sheetId="26" r:id="rId14"/>
  </sheets>
  <definedNames>
    <definedName name="GenereltKravAnlæg2018">'Fane 5. Generelt eff. krav'!$G$19</definedName>
    <definedName name="GenereltKravAnlæg2019">'Fane 5. Generelt eff. krav'!$G$20</definedName>
    <definedName name="GenereltKravDrift2018">'Fane 5. Generelt eff. krav'!$G$17</definedName>
    <definedName name="GenereltKravDrift2019">'Fane 5. Generelt eff. krav'!$G$18</definedName>
    <definedName name="IndividueltKrav">'Fane 11. Nøgletal'!$F$14</definedName>
    <definedName name="Prisudvikling2018">'Fane 11. Nøgletal'!$F$9</definedName>
    <definedName name="Prisudvikling2019">'Fane 11. Nøgletal'!$F$10</definedName>
  </definedNames>
  <calcPr calcId="145621"/>
</workbook>
</file>

<file path=xl/calcChain.xml><?xml version="1.0" encoding="utf-8"?>
<calcChain xmlns="http://schemas.openxmlformats.org/spreadsheetml/2006/main">
  <c r="C10" i="23" l="1"/>
  <c r="C11" i="22"/>
  <c r="C11" i="15"/>
  <c r="E12" i="34" l="1"/>
  <c r="E18" i="34" l="1"/>
  <c r="E20" i="34" s="1"/>
  <c r="G21" i="34" s="1"/>
  <c r="G22" i="34" s="1"/>
  <c r="C26" i="15" s="1"/>
  <c r="E26" i="15" s="1"/>
  <c r="C16" i="23" l="1"/>
  <c r="C17" i="22"/>
  <c r="C17" i="15"/>
  <c r="C21" i="2"/>
  <c r="G12" i="34" l="1"/>
  <c r="C24" i="22" s="1"/>
  <c r="E24" i="22" s="1"/>
  <c r="G10" i="30" l="1"/>
  <c r="G12" i="30"/>
  <c r="G11" i="11" l="1"/>
  <c r="F11" i="11"/>
  <c r="D10" i="20" s="1"/>
  <c r="C31" i="2" l="1"/>
  <c r="C17" i="23" l="1"/>
  <c r="E17" i="23" s="1"/>
  <c r="C18" i="22" l="1"/>
  <c r="E18" i="22" s="1"/>
  <c r="C18" i="15"/>
  <c r="E18" i="15" s="1"/>
  <c r="C22" i="2"/>
  <c r="E22" i="2" s="1"/>
  <c r="G13" i="27"/>
  <c r="D11" i="20" l="1"/>
  <c r="F11" i="21"/>
  <c r="F12" i="21" s="1"/>
  <c r="C13" i="2" s="1"/>
  <c r="D11" i="21"/>
  <c r="D12" i="21" s="1"/>
  <c r="C12" i="2" s="1"/>
  <c r="C9" i="2"/>
  <c r="E14" i="19"/>
  <c r="E15" i="19" s="1"/>
  <c r="C24" i="2" l="1"/>
  <c r="C26" i="2" s="1"/>
  <c r="E26" i="2" s="1"/>
  <c r="C20" i="22"/>
  <c r="C22" i="22" s="1"/>
  <c r="E22" i="22" s="1"/>
  <c r="C19" i="23"/>
  <c r="C20" i="15"/>
  <c r="C22" i="15" l="1"/>
  <c r="E22" i="15" s="1"/>
  <c r="C21" i="23"/>
  <c r="E21" i="23" s="1"/>
  <c r="G11" i="10"/>
  <c r="E31" i="2" l="1"/>
  <c r="G13" i="10"/>
  <c r="C24" i="15" s="1"/>
  <c r="E24" i="15" l="1"/>
  <c r="D12" i="20"/>
  <c r="C10" i="2" s="1"/>
  <c r="C16" i="2" s="1"/>
  <c r="C12" i="15" l="1"/>
  <c r="C12" i="22" s="1"/>
  <c r="C11" i="23" s="1"/>
  <c r="E11" i="11" l="1"/>
  <c r="F10" i="20" s="1"/>
  <c r="F11" i="20" s="1"/>
  <c r="F12" i="20" s="1"/>
  <c r="C11" i="2" s="1"/>
  <c r="C17" i="2" s="1"/>
  <c r="C33" i="2"/>
  <c r="E33" i="2" s="1"/>
  <c r="C13" i="15" l="1"/>
  <c r="C13" i="22" s="1"/>
  <c r="C12" i="23" s="1"/>
  <c r="C14" i="2"/>
  <c r="C15" i="2" s="1"/>
  <c r="C18" i="2" l="1"/>
  <c r="E18" i="2" s="1"/>
  <c r="E34" i="2" s="1"/>
  <c r="C9" i="15" l="1"/>
  <c r="C10" i="15" l="1"/>
  <c r="C14" i="15" l="1"/>
  <c r="E14" i="15" s="1"/>
  <c r="E27" i="15" s="1"/>
  <c r="C9" i="22" l="1"/>
  <c r="C10" i="22" l="1"/>
  <c r="C14" i="22" l="1"/>
  <c r="E14" i="22" s="1"/>
  <c r="E25" i="22" s="1"/>
  <c r="C8" i="23" l="1"/>
  <c r="C9" i="23" l="1"/>
  <c r="C13" i="23" s="1"/>
  <c r="E13" i="23" s="1"/>
  <c r="E22" i="23" s="1"/>
</calcChain>
</file>

<file path=xl/sharedStrings.xml><?xml version="1.0" encoding="utf-8"?>
<sst xmlns="http://schemas.openxmlformats.org/spreadsheetml/2006/main" count="321" uniqueCount="142">
  <si>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</si>
  <si>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</si>
  <si>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</si>
  <si>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</si>
  <si>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</si>
  <si>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</si>
  <si>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</si>
  <si>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</si>
  <si>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</si>
  <si>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</si>
  <si>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</si>
  <si>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</si>
  <si>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</si>
  <si>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</si>
  <si>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</si>
  <si>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</si>
  <si>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</si>
  <si>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</si>
  <si>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</si>
  <si>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</si>
  <si>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</si>
  <si>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</si>
  <si>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</si>
  <si>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</si>
  <si>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</si>
  <si>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</si>
  <si>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</si>
  <si>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</si>
  <si>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Tillæg</t>
  </si>
  <si>
    <t>Fane 11</t>
  </si>
  <si>
    <t>Fane 2.2</t>
  </si>
  <si>
    <t>Samlet økonomisk ramme for 2019</t>
  </si>
  <si>
    <t>Omkostninger i den økonomiske ramme for 2018</t>
  </si>
  <si>
    <t>Økonomisk ramme for 2019</t>
  </si>
  <si>
    <t>Beskrivelse af tillæg</t>
  </si>
  <si>
    <t>Bortfald eller nedsættelse</t>
  </si>
  <si>
    <t>Beskrivelse af bortfald eller nedsættelse</t>
  </si>
  <si>
    <t>Prisudvikling i kr.</t>
  </si>
  <si>
    <t>år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</si>
  <si>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</si>
  <si>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</si>
  <si>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</si>
  <si>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</si>
  <si>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</si>
  <si>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</si>
  <si>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</si>
  <si>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</si>
  <si>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</si>
  <si>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</si>
  <si>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</si>
  <si>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</si>
  <si>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</si>
  <si>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</si>
  <si>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</si>
  <si>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</si>
  <si>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</si>
  <si>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</si>
  <si>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</si>
  <si>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</si>
  <si>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</si>
  <si>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</si>
  <si>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Generelt effektiviseringskrav - Drift</t>
  </si>
  <si>
    <t>Generelt effektiviseringskrav - Anlæg</t>
  </si>
  <si>
    <t>Nye tillæg - Anlæg</t>
  </si>
  <si>
    <t>Nye tillæg - Drift</t>
  </si>
  <si>
    <t>Bortfald eller nedsættelse af omkostninger - Anlæg</t>
  </si>
  <si>
    <t>Bortfald eller nedsættelse af omkostninger - Drift</t>
  </si>
  <si>
    <t>Generelt effektiviseringskrav - Nøgletal</t>
  </si>
  <si>
    <t>Økonomisk ramme for 2021</t>
  </si>
  <si>
    <t>Nye tillæg i alt (2017-prisniveau)</t>
  </si>
  <si>
    <t>Nye tillæg i alt (2018-prisniveau)</t>
  </si>
  <si>
    <t>Bortfald eller nedsættelse i alt (2017-prisniveau)</t>
  </si>
  <si>
    <t>Bortfald eller nedsættelse i alt (2018-prisniveau)</t>
  </si>
  <si>
    <t>- Heraf periodevise driftsomkostninger</t>
  </si>
  <si>
    <t>Periodevise driftsomkostninger</t>
  </si>
  <si>
    <t>Periodevise driftsomkostninger før effektiviseringskrav i 2018</t>
  </si>
  <si>
    <t>Effektiviseringskrav til periodevise driftsomkostninger</t>
  </si>
  <si>
    <t>Periodevise driftsomkostninger i alt</t>
  </si>
  <si>
    <t>Økonomisk ramme for 2022</t>
  </si>
  <si>
    <t>Tilbagebetaling af vejbidrag</t>
  </si>
  <si>
    <t>Ikke-påvirkelige omkostninger i alt</t>
  </si>
  <si>
    <t>Korrektion af periodevise driftsomkostninger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</si>
  <si>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</si>
  <si>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</si>
  <si>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</si>
  <si>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</si>
  <si>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</si>
  <si>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ØR18-ØR19</t>
  </si>
  <si>
    <t>Generelt effektiviseringskrav anvendt til anlæg i ØR18-ØR19</t>
  </si>
  <si>
    <t>Beskrivelse af anlægsaktiver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</si>
  <si>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</si>
  <si>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</si>
  <si>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</si>
  <si>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</si>
  <si>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</si>
  <si>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</si>
  <si>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</si>
  <si>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</si>
  <si>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</si>
  <si>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</si>
  <si>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Hist. over el. underdæk</t>
  </si>
  <si>
    <t>Bortfald</t>
  </si>
  <si>
    <t>Fane 4: Korrektion af ikke-påvirkelige omkostninger</t>
  </si>
  <si>
    <t>Generelt eff. Krav</t>
  </si>
  <si>
    <t>Anlægsprojekter</t>
  </si>
  <si>
    <t>Indtægtsramme i den økonomiske ramme for 2017</t>
  </si>
  <si>
    <t>Faktiske indtægter i 2017</t>
  </si>
  <si>
    <t>Difference</t>
  </si>
  <si>
    <t>Fradrag for kontrol med overholdelse af indtægtsrammen</t>
  </si>
  <si>
    <t>Individuelt effektiviseringskrav fastsat til de økonomiske rammer for 2018</t>
  </si>
  <si>
    <t>Anlægsomkostninger</t>
  </si>
  <si>
    <t>Beskrivelse af ikke-påvirkelige omkostninger</t>
  </si>
  <si>
    <t>- Heraf Faktisk eller planlagt genanbringelse af væsentlige indtægter</t>
  </si>
  <si>
    <t>Antal år i reguleringsperiode</t>
  </si>
  <si>
    <t>Fradrag i den økonomiske ramme for 2020-2021 i alt (2017-prisniveau)</t>
  </si>
  <si>
    <t>Fradrag i den økonomiske ramme for 2020-2021 i alt (2020-prisniveau)</t>
  </si>
  <si>
    <t>Kontrol med overholdelse af den økonomiske ramme for 2017</t>
  </si>
  <si>
    <t>Til indregning i de økonomiske rammer for 2020-2021</t>
  </si>
  <si>
    <t>Indregning af difference hvis negativ</t>
  </si>
  <si>
    <t>Fordeling af difference per år i reguleringsperiode</t>
  </si>
  <si>
    <t>Fane 5: Generelt effektiviseringskrav</t>
  </si>
  <si>
    <t>Fane 9: Tillæg</t>
  </si>
  <si>
    <t>Kontrol af ØR2017</t>
  </si>
  <si>
    <t>Til statusmeddelse for 2019</t>
  </si>
  <si>
    <t>Samlet økonomisk ramme for 2022</t>
  </si>
  <si>
    <t>Fane 6: Historisk over- eller underdækning</t>
  </si>
  <si>
    <t>Fane 7: Kontrol med overholdelse af den økonomiske ramme for 2017</t>
  </si>
  <si>
    <t>Anlægsprojekter igangsat inden 1. marts 2016</t>
  </si>
  <si>
    <t>Ikke-påvirkelige omkostninger i 2017-prisniveau</t>
  </si>
  <si>
    <t>Ikke-påvirkelige omkostninger i 2019-prisniveau</t>
  </si>
  <si>
    <t>Fane 8: Anlægsprojekter igangsat inden 1. marts 2016</t>
  </si>
  <si>
    <t>Anlægsprojekter igangsat inden 1. marts 2016 i alt</t>
  </si>
  <si>
    <t>Generelt effektiviseringskrav anvendt til nye anlægsomkostninger i ØR19</t>
  </si>
  <si>
    <t>Ingen anlægsprojekter</t>
  </si>
  <si>
    <t>Periodevise driftsomkostninger under prisloftsbekendtgørelsen</t>
  </si>
  <si>
    <t>Ingen bortfald eller nedsættelse</t>
  </si>
  <si>
    <t xml:space="preserve">Afgift til Forsyningssekretariatet </t>
  </si>
  <si>
    <t xml:space="preserve">Køb af ydelser og produkter fra andre vandselskaber reguleret af vandsektorloven </t>
  </si>
  <si>
    <t xml:space="preserve">Selskabsskat </t>
  </si>
  <si>
    <t>Spildevandsafgift</t>
  </si>
  <si>
    <t>Fane 10: Bortfald eller nedsættelse af omkostninger til mål, medfinansiering eller udvidelse</t>
  </si>
  <si>
    <t>Fane 11: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</si>
</sst>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2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3" fontId="0" fillId="0" borderId="0" xfId="0" applyNumberFormat="1" applyProtection="1"/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10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165" fontId="8" fillId="9" borderId="1" xfId="1" applyNumberFormat="1" applyFont="1" applyFill="1" applyBorder="1" applyProtection="1"/>
    <xf numFmtId="10" fontId="8" fillId="9" borderId="1" xfId="4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5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1406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0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3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123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4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5</v>
      </c>
      <c r="D13" s="69" t="s">
        <v>31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30</v>
      </c>
      <c r="D14" s="69" t="s">
        <v>95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96</v>
      </c>
      <c r="D16" s="69" t="s">
        <v>124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6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7</v>
      </c>
      <c r="D18" s="78" t="s">
        <v>99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8</v>
      </c>
      <c r="D19" s="84" t="s">
        <v>103</v>
      </c>
      <c r="E19" s="85"/>
      <c r="F19" s="85"/>
      <c r="G19" s="86"/>
      <c r="H19" s="1"/>
      <c r="I19" s="1"/>
    </row>
    <row r="20" spans="1:9" x14ac:dyDescent="0.25">
      <c r="A20" s="1"/>
      <c r="B20" s="1"/>
      <c r="C20" s="6" t="s">
        <v>9</v>
      </c>
      <c r="D20" s="73" t="s">
        <v>100</v>
      </c>
      <c r="E20" s="74"/>
      <c r="F20" s="74"/>
      <c r="G20" s="75"/>
      <c r="H20" s="1"/>
      <c r="I20" s="1"/>
    </row>
    <row r="21" spans="1:9" x14ac:dyDescent="0.25">
      <c r="A21" s="1"/>
      <c r="B21" s="1"/>
      <c r="C21" s="6" t="s">
        <v>10</v>
      </c>
      <c r="D21" s="73" t="s">
        <v>122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</v>
      </c>
      <c r="D22" s="73" t="s">
        <v>104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12</v>
      </c>
      <c r="D23" s="87" t="s">
        <v>28</v>
      </c>
      <c r="E23" s="88"/>
      <c r="F23" s="88"/>
      <c r="G23" s="89"/>
      <c r="H23" s="1"/>
      <c r="I23" s="1"/>
    </row>
    <row r="24" spans="1:9" x14ac:dyDescent="0.25">
      <c r="A24" s="1"/>
      <c r="B24" s="1"/>
      <c r="C24" s="6" t="s">
        <v>26</v>
      </c>
      <c r="D24" s="81" t="s">
        <v>101</v>
      </c>
      <c r="E24" s="82"/>
      <c r="F24" s="82"/>
      <c r="G24" s="83"/>
      <c r="H24" s="1"/>
      <c r="I24" s="1"/>
    </row>
    <row r="25" spans="1:9" x14ac:dyDescent="0.25">
      <c r="A25" s="1"/>
      <c r="B25" s="1"/>
      <c r="C25" s="6" t="s">
        <v>29</v>
      </c>
      <c r="D25" s="81" t="s">
        <v>54</v>
      </c>
      <c r="E25" s="82"/>
      <c r="F25" s="82"/>
      <c r="G25" s="83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DFE9" sheet="1" objects="1" scenarios="1"/>
  <mergeCells count="16">
    <mergeCell ref="D24:G24"/>
    <mergeCell ref="D25:G25"/>
    <mergeCell ref="D19:G19"/>
    <mergeCell ref="D21:G21"/>
    <mergeCell ref="D22:G22"/>
    <mergeCell ref="D23:G23"/>
    <mergeCell ref="D14:G14"/>
    <mergeCell ref="D6:G7"/>
    <mergeCell ref="D20:G20"/>
    <mergeCell ref="D11:G11"/>
    <mergeCell ref="D8:G8"/>
    <mergeCell ref="D15:G15"/>
    <mergeCell ref="D16:G16"/>
    <mergeCell ref="D17:G17"/>
    <mergeCell ref="D18:G18"/>
    <mergeCell ref="D13:G13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Ikke-påvirkelige omk.'!A1" display="Ikke-påvirkelige omk."/>
    <hyperlink ref="D20:G20" location="'Fane 6. Hist. over el. underdæk'!A1" display="Hist. over el. underdæk"/>
    <hyperlink ref="D23:G23" location="'Fane 9. Tillæg'!A1" display="Tillæg"/>
    <hyperlink ref="D24:G24" location="'Fane 10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Generelt eff. krav'!A1" display="Generelt eff. Krav"/>
    <hyperlink ref="D21:G21" location="'Fane 7. Kontrol af ØR2017'!A1" display="Kontrol af ØR2017"/>
    <hyperlink ref="D22:G22" location="'Fane 8. Anlægsprojekter'!A1" display="Anlægsprojekter"/>
    <hyperlink ref="D25:G25" location="'Fane 11. Nøgletal'!A1" display="Nøgletal"/>
  </hyperlinks>
  <pageMargins left="0.8333333333333333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3" width="9.140625" style="2"/>
    <col min="4" max="4" width="31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95" t="s">
        <v>126</v>
      </c>
      <c r="C3" s="95"/>
      <c r="D3" s="95"/>
      <c r="E3" s="95"/>
      <c r="F3" s="95"/>
      <c r="G3" s="95"/>
      <c r="H3" s="95"/>
      <c r="I3" s="1"/>
    </row>
    <row r="4" spans="1:9" ht="1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116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6" t="s">
        <v>105</v>
      </c>
      <c r="C9" s="97"/>
      <c r="D9" s="98"/>
      <c r="E9" s="11">
        <v>47968143.89651598</v>
      </c>
      <c r="F9" s="22" t="s">
        <v>2</v>
      </c>
      <c r="G9" s="19"/>
      <c r="H9" s="27"/>
      <c r="I9" s="1"/>
    </row>
    <row r="10" spans="1:9" x14ac:dyDescent="0.25">
      <c r="A10" s="1"/>
      <c r="B10" s="96" t="s">
        <v>106</v>
      </c>
      <c r="C10" s="97"/>
      <c r="D10" s="98"/>
      <c r="E10" s="11">
        <v>32963157</v>
      </c>
      <c r="F10" s="22" t="s">
        <v>2</v>
      </c>
      <c r="G10" s="14"/>
      <c r="H10" s="28"/>
      <c r="I10" s="1"/>
    </row>
    <row r="11" spans="1:9" x14ac:dyDescent="0.25">
      <c r="A11" s="1"/>
      <c r="B11" s="96" t="s">
        <v>112</v>
      </c>
      <c r="C11" s="97"/>
      <c r="D11" s="98"/>
      <c r="E11" s="11">
        <v>0</v>
      </c>
      <c r="F11" s="22" t="s">
        <v>2</v>
      </c>
      <c r="G11" s="14"/>
      <c r="H11" s="28"/>
      <c r="I11" s="1"/>
    </row>
    <row r="12" spans="1:9" x14ac:dyDescent="0.25">
      <c r="A12" s="1"/>
      <c r="B12" s="47" t="s">
        <v>107</v>
      </c>
      <c r="C12" s="48"/>
      <c r="D12" s="49"/>
      <c r="E12" s="17">
        <f>E9-(E10-E11)</f>
        <v>15004986.89651598</v>
      </c>
      <c r="F12" s="25" t="s">
        <v>2</v>
      </c>
      <c r="G12" s="17">
        <f>E12</f>
        <v>15004986.89651598</v>
      </c>
      <c r="H12" s="25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92" t="s">
        <v>117</v>
      </c>
      <c r="C17" s="93"/>
      <c r="D17" s="93"/>
      <c r="E17" s="93"/>
      <c r="F17" s="93"/>
      <c r="G17" s="93"/>
      <c r="H17" s="94"/>
      <c r="I17" s="1"/>
    </row>
    <row r="18" spans="1:9" x14ac:dyDescent="0.25">
      <c r="A18" s="1"/>
      <c r="B18" s="99" t="s">
        <v>118</v>
      </c>
      <c r="C18" s="100"/>
      <c r="D18" s="101"/>
      <c r="E18" s="11">
        <f>IF(E12&lt;0,E12,0)</f>
        <v>0</v>
      </c>
      <c r="F18" s="22" t="s">
        <v>2</v>
      </c>
      <c r="G18" s="14"/>
      <c r="H18" s="28"/>
      <c r="I18" s="1"/>
    </row>
    <row r="19" spans="1:9" x14ac:dyDescent="0.25">
      <c r="A19" s="1"/>
      <c r="B19" s="99" t="s">
        <v>113</v>
      </c>
      <c r="C19" s="100"/>
      <c r="D19" s="101"/>
      <c r="E19" s="11">
        <v>2</v>
      </c>
      <c r="F19" s="22" t="s">
        <v>38</v>
      </c>
      <c r="G19" s="14"/>
      <c r="H19" s="28"/>
      <c r="I19" s="1"/>
    </row>
    <row r="20" spans="1:9" x14ac:dyDescent="0.25">
      <c r="A20" s="1"/>
      <c r="B20" s="99" t="s">
        <v>119</v>
      </c>
      <c r="C20" s="100"/>
      <c r="D20" s="101"/>
      <c r="E20" s="11">
        <f>E18/E19</f>
        <v>0</v>
      </c>
      <c r="F20" s="22" t="s">
        <v>2</v>
      </c>
      <c r="G20" s="14"/>
      <c r="H20" s="28"/>
      <c r="I20" s="1"/>
    </row>
    <row r="21" spans="1:9" x14ac:dyDescent="0.25">
      <c r="A21" s="1"/>
      <c r="B21" s="92" t="s">
        <v>114</v>
      </c>
      <c r="C21" s="93"/>
      <c r="D21" s="93"/>
      <c r="E21" s="93"/>
      <c r="F21" s="94"/>
      <c r="G21" s="20">
        <f>E20</f>
        <v>0</v>
      </c>
      <c r="H21" s="21" t="s">
        <v>2</v>
      </c>
      <c r="I21" s="1"/>
    </row>
    <row r="22" spans="1:9" x14ac:dyDescent="0.25">
      <c r="A22" s="1"/>
      <c r="B22" s="92" t="s">
        <v>115</v>
      </c>
      <c r="C22" s="93"/>
      <c r="D22" s="93"/>
      <c r="E22" s="93"/>
      <c r="F22" s="94"/>
      <c r="G22" s="20">
        <f>G21*(1+Prisudvikling2019)^3</f>
        <v>0</v>
      </c>
      <c r="H22" s="21" t="s">
        <v>2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1">
    <mergeCell ref="B18:D18"/>
    <mergeCell ref="B19:D19"/>
    <mergeCell ref="B20:D20"/>
    <mergeCell ref="B21:F21"/>
    <mergeCell ref="B22:F22"/>
    <mergeCell ref="B3:H4"/>
    <mergeCell ref="B8:H8"/>
    <mergeCell ref="B17:H17"/>
    <mergeCell ref="B9:D9"/>
    <mergeCell ref="B10:D10"/>
    <mergeCell ref="B11:D11"/>
  </mergeCells>
  <pageMargins left="0.8020833333333333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3" style="2" customWidth="1"/>
    <col min="2" max="2" width="25.28515625" style="2" customWidth="1"/>
    <col min="3" max="3" width="8.28515625" style="2" customWidth="1"/>
    <col min="4" max="6" width="10.7109375" style="2" customWidth="1"/>
    <col min="7" max="7" width="11.140625" style="2" customWidth="1"/>
    <col min="8" max="8" width="2.85546875" style="2" customWidth="1"/>
    <col min="9" max="9" width="3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130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127</v>
      </c>
      <c r="C8" s="93"/>
      <c r="D8" s="93"/>
      <c r="E8" s="93"/>
      <c r="F8" s="93"/>
      <c r="G8" s="93"/>
      <c r="H8" s="94"/>
      <c r="I8" s="1"/>
    </row>
    <row r="9" spans="1:9" ht="39" customHeight="1" x14ac:dyDescent="0.25">
      <c r="A9" s="1"/>
      <c r="B9" s="38" t="s">
        <v>89</v>
      </c>
      <c r="C9" s="38" t="s">
        <v>0</v>
      </c>
      <c r="D9" s="38" t="s">
        <v>19</v>
      </c>
      <c r="E9" s="18" t="s">
        <v>1</v>
      </c>
      <c r="F9" s="18" t="s">
        <v>21</v>
      </c>
      <c r="G9" s="18" t="s">
        <v>90</v>
      </c>
      <c r="H9" s="37"/>
      <c r="I9" s="1"/>
    </row>
    <row r="10" spans="1:9" ht="15" customHeight="1" x14ac:dyDescent="0.25">
      <c r="A10" s="1"/>
      <c r="B10" s="66" t="s">
        <v>133</v>
      </c>
      <c r="C10" s="67"/>
      <c r="D10" s="11"/>
      <c r="E10" s="11"/>
      <c r="F10" s="11"/>
      <c r="G10" s="11"/>
      <c r="H10" s="22" t="s">
        <v>2</v>
      </c>
      <c r="I10" s="1"/>
    </row>
    <row r="11" spans="1:9" x14ac:dyDescent="0.25">
      <c r="A11" s="1"/>
      <c r="B11" s="92" t="s">
        <v>131</v>
      </c>
      <c r="C11" s="93"/>
      <c r="D11" s="94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2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8:H8"/>
    <mergeCell ref="B11:D11"/>
  </mergeCells>
  <pageMargins left="0.76041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3" style="2" customWidth="1"/>
    <col min="3" max="3" width="3.7109375" style="2" hidden="1" customWidth="1"/>
    <col min="4" max="4" width="15.42578125" style="2" customWidth="1"/>
    <col min="5" max="5" width="3.28515625" style="2" customWidth="1"/>
    <col min="6" max="6" width="18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121</v>
      </c>
      <c r="C3" s="90"/>
      <c r="D3" s="90"/>
      <c r="E3" s="90"/>
      <c r="F3" s="90"/>
      <c r="G3" s="90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9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39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34</v>
      </c>
      <c r="C9" s="37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127</v>
      </c>
      <c r="C10" s="59"/>
      <c r="D10" s="60">
        <f>'Fane 8. Anlægsprojekter'!F11</f>
        <v>0</v>
      </c>
      <c r="E10" s="22" t="s">
        <v>2</v>
      </c>
      <c r="F10" s="11">
        <f>SUM('Fane 8. Anlægsprojekter'!E11,'Fane 8. Anlægsprojekter'!G11)</f>
        <v>0</v>
      </c>
      <c r="G10" s="22" t="s">
        <v>2</v>
      </c>
      <c r="H10" s="1"/>
    </row>
    <row r="11" spans="1:8" x14ac:dyDescent="0.25">
      <c r="A11" s="1"/>
      <c r="B11" s="39" t="s">
        <v>69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70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6.5703125" style="2" customWidth="1"/>
    <col min="5" max="5" width="3.28515625" style="2" customWidth="1"/>
    <col min="6" max="6" width="17.28515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140</v>
      </c>
      <c r="C3" s="95"/>
      <c r="D3" s="95"/>
      <c r="E3" s="95"/>
      <c r="F3" s="95"/>
      <c r="G3" s="95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95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35</v>
      </c>
      <c r="C8" s="40"/>
      <c r="D8" s="40"/>
      <c r="E8" s="40"/>
      <c r="F8" s="40"/>
      <c r="G8" s="41"/>
      <c r="H8" s="1"/>
    </row>
    <row r="9" spans="1:8" ht="15" customHeight="1" x14ac:dyDescent="0.25">
      <c r="A9" s="1"/>
      <c r="B9" s="29" t="s">
        <v>36</v>
      </c>
      <c r="C9" s="30"/>
      <c r="D9" s="29" t="s">
        <v>21</v>
      </c>
      <c r="E9" s="37"/>
      <c r="F9" s="29" t="s">
        <v>110</v>
      </c>
      <c r="G9" s="37"/>
      <c r="H9" s="1"/>
    </row>
    <row r="10" spans="1:8" x14ac:dyDescent="0.25">
      <c r="A10" s="1"/>
      <c r="B10" s="58" t="s">
        <v>135</v>
      </c>
      <c r="C10" s="68"/>
      <c r="D10" s="11">
        <v>0</v>
      </c>
      <c r="E10" s="22" t="s">
        <v>2</v>
      </c>
      <c r="F10" s="11">
        <v>0</v>
      </c>
      <c r="G10" s="22" t="s">
        <v>2</v>
      </c>
      <c r="H10" s="1"/>
    </row>
    <row r="11" spans="1:8" x14ac:dyDescent="0.25">
      <c r="A11" s="1"/>
      <c r="B11" s="39" t="s">
        <v>71</v>
      </c>
      <c r="C11" s="41"/>
      <c r="D11" s="20">
        <f>SUM(D10:D10)</f>
        <v>0</v>
      </c>
      <c r="E11" s="21" t="s">
        <v>2</v>
      </c>
      <c r="F11" s="20">
        <f>SUM(F10:F10)</f>
        <v>0</v>
      </c>
      <c r="G11" s="21" t="s">
        <v>2</v>
      </c>
      <c r="H11" s="1"/>
    </row>
    <row r="12" spans="1:8" x14ac:dyDescent="0.25">
      <c r="A12" s="1"/>
      <c r="B12" s="39" t="s">
        <v>72</v>
      </c>
      <c r="C12" s="41"/>
      <c r="D12" s="20">
        <f>D11*(1+Prisudvikling2019)</f>
        <v>0</v>
      </c>
      <c r="E12" s="21" t="s">
        <v>2</v>
      </c>
      <c r="F12" s="20">
        <f>F11*(1+Prisudvikling2019)</f>
        <v>0</v>
      </c>
      <c r="G12" s="21" t="s">
        <v>2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28515625" style="2" customWidth="1"/>
    <col min="7" max="7" width="5.140625" style="2" hidden="1" customWidth="1"/>
    <col min="8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5" t="s">
        <v>141</v>
      </c>
      <c r="C3" s="95"/>
      <c r="D3" s="95"/>
      <c r="E3" s="95"/>
      <c r="F3" s="95"/>
      <c r="G3" s="1"/>
      <c r="H3" s="1"/>
    </row>
    <row r="4" spans="1:8" ht="25.5" customHeight="1" x14ac:dyDescent="0.25">
      <c r="A4" s="1"/>
      <c r="B4" s="95"/>
      <c r="C4" s="95"/>
      <c r="D4" s="95"/>
      <c r="E4" s="95"/>
      <c r="F4" s="95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27</v>
      </c>
      <c r="C8" s="40"/>
      <c r="D8" s="40"/>
      <c r="E8" s="40"/>
      <c r="F8" s="41"/>
      <c r="G8" s="41"/>
      <c r="H8" s="1"/>
    </row>
    <row r="9" spans="1:8" x14ac:dyDescent="0.25">
      <c r="A9" s="1"/>
      <c r="B9" s="42" t="s">
        <v>44</v>
      </c>
      <c r="C9" s="43"/>
      <c r="D9" s="43"/>
      <c r="E9" s="44"/>
      <c r="F9" s="61">
        <v>1.7500000000000002E-2</v>
      </c>
      <c r="G9" s="62"/>
      <c r="H9" s="1"/>
    </row>
    <row r="10" spans="1:8" x14ac:dyDescent="0.25">
      <c r="A10" s="1"/>
      <c r="B10" s="42" t="s">
        <v>45</v>
      </c>
      <c r="C10" s="43"/>
      <c r="D10" s="43"/>
      <c r="E10" s="44"/>
      <c r="F10" s="61">
        <v>1.6899999999999998E-2</v>
      </c>
      <c r="G10" s="62"/>
      <c r="H10" s="1"/>
    </row>
    <row r="11" spans="1:8" x14ac:dyDescent="0.25">
      <c r="A11" s="1"/>
      <c r="B11" s="39"/>
      <c r="C11" s="40"/>
      <c r="D11" s="40"/>
      <c r="E11" s="40"/>
      <c r="F11" s="41"/>
      <c r="G11" s="41"/>
      <c r="H11" s="1"/>
    </row>
    <row r="12" spans="1:8" x14ac:dyDescent="0.25">
      <c r="A12" s="1"/>
      <c r="B12" s="1"/>
      <c r="C12" s="1"/>
      <c r="D12" s="1"/>
      <c r="E12" s="1"/>
      <c r="F12" s="1"/>
      <c r="G12" s="1"/>
      <c r="H12" s="1"/>
    </row>
    <row r="13" spans="1:8" x14ac:dyDescent="0.25">
      <c r="A13" s="1"/>
      <c r="B13" s="39" t="s">
        <v>109</v>
      </c>
      <c r="C13" s="40"/>
      <c r="D13" s="40"/>
      <c r="E13" s="40"/>
      <c r="F13" s="41"/>
      <c r="G13" s="41"/>
      <c r="H13" s="1"/>
    </row>
    <row r="14" spans="1:8" x14ac:dyDescent="0.25">
      <c r="A14" s="1"/>
      <c r="B14" s="42" t="s">
        <v>13</v>
      </c>
      <c r="C14" s="43"/>
      <c r="D14" s="43"/>
      <c r="E14" s="44"/>
      <c r="F14" s="61">
        <v>3.666367287165065E-3</v>
      </c>
      <c r="G14" s="62"/>
      <c r="H14" s="1"/>
    </row>
    <row r="15" spans="1:8" x14ac:dyDescent="0.25">
      <c r="A15" s="1"/>
      <c r="B15" s="39"/>
      <c r="C15" s="40"/>
      <c r="D15" s="40"/>
      <c r="E15" s="40"/>
      <c r="F15" s="41"/>
      <c r="G15" s="4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645833333333333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2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0.7109375" style="2" customWidth="1"/>
    <col min="6" max="6" width="3.28515625" style="2" customWidth="1"/>
    <col min="7" max="7" width="2.7109375" style="2" customWidth="1"/>
    <col min="8" max="8" width="9.140625" style="2"/>
    <col min="9" max="9" width="10.140625" style="2" bestFit="1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</row>
    <row r="2" spans="1:9" x14ac:dyDescent="0.25">
      <c r="A2" s="1"/>
      <c r="B2" s="1"/>
      <c r="C2" s="1"/>
      <c r="D2" s="1"/>
      <c r="E2" s="1"/>
      <c r="F2" s="1"/>
      <c r="G2" s="1"/>
    </row>
    <row r="3" spans="1:9" ht="15" customHeight="1" x14ac:dyDescent="0.25">
      <c r="A3" s="1"/>
      <c r="B3" s="90" t="s">
        <v>41</v>
      </c>
      <c r="C3" s="90"/>
      <c r="D3" s="90"/>
      <c r="E3" s="90"/>
      <c r="F3" s="90"/>
      <c r="G3" s="1"/>
      <c r="I3" s="36"/>
    </row>
    <row r="4" spans="1:9" ht="15" customHeight="1" x14ac:dyDescent="0.25">
      <c r="A4" s="1"/>
      <c r="B4" s="90"/>
      <c r="C4" s="90"/>
      <c r="D4" s="90"/>
      <c r="E4" s="90"/>
      <c r="F4" s="90"/>
      <c r="G4" s="1"/>
    </row>
    <row r="5" spans="1:9" x14ac:dyDescent="0.25">
      <c r="A5" s="1"/>
      <c r="B5" s="1"/>
      <c r="C5" s="1"/>
      <c r="D5" s="1"/>
      <c r="E5" s="1"/>
      <c r="F5" s="1"/>
      <c r="G5" s="1"/>
    </row>
    <row r="6" spans="1:9" x14ac:dyDescent="0.25">
      <c r="A6" s="1"/>
      <c r="B6" s="1"/>
      <c r="C6" s="1"/>
      <c r="D6" s="1"/>
      <c r="E6" s="1"/>
      <c r="F6" s="1"/>
      <c r="G6" s="1"/>
    </row>
    <row r="7" spans="1:9" x14ac:dyDescent="0.25">
      <c r="A7" s="1"/>
      <c r="B7" s="1"/>
      <c r="C7" s="1"/>
      <c r="D7" s="1"/>
      <c r="E7" s="1"/>
      <c r="F7" s="1"/>
      <c r="G7" s="1"/>
    </row>
    <row r="8" spans="1:9" x14ac:dyDescent="0.25">
      <c r="A8" s="1"/>
      <c r="B8" s="39" t="s">
        <v>25</v>
      </c>
      <c r="C8" s="40"/>
      <c r="D8" s="40"/>
      <c r="E8" s="40"/>
      <c r="F8" s="41"/>
      <c r="G8" s="1"/>
    </row>
    <row r="9" spans="1:9" ht="29.25" customHeight="1" x14ac:dyDescent="0.25">
      <c r="A9" s="1"/>
      <c r="B9" s="45" t="s">
        <v>49</v>
      </c>
      <c r="C9" s="7">
        <f>'Fane 3. Omkostninger i ØR2018'!G13</f>
        <v>37960736.717076279</v>
      </c>
      <c r="D9" s="8" t="s">
        <v>2</v>
      </c>
      <c r="E9" s="9"/>
      <c r="F9" s="10"/>
      <c r="G9" s="1"/>
    </row>
    <row r="10" spans="1:9" ht="15" customHeight="1" x14ac:dyDescent="0.25">
      <c r="A10" s="1"/>
      <c r="B10" s="46" t="s">
        <v>64</v>
      </c>
      <c r="C10" s="7">
        <f>'Fane 9. Tillæg'!D12</f>
        <v>0</v>
      </c>
      <c r="D10" s="8" t="s">
        <v>2</v>
      </c>
      <c r="E10" s="32"/>
      <c r="F10" s="13"/>
      <c r="G10" s="1"/>
    </row>
    <row r="11" spans="1:9" ht="15" customHeight="1" x14ac:dyDescent="0.25">
      <c r="A11" s="1"/>
      <c r="B11" s="46" t="s">
        <v>63</v>
      </c>
      <c r="C11" s="11">
        <f>'Fane 9. Tillæg'!F12</f>
        <v>0</v>
      </c>
      <c r="D11" s="8" t="s">
        <v>2</v>
      </c>
      <c r="E11" s="12"/>
      <c r="F11" s="13"/>
      <c r="G11" s="1"/>
    </row>
    <row r="12" spans="1:9" ht="15" customHeight="1" x14ac:dyDescent="0.25">
      <c r="A12" s="1"/>
      <c r="B12" s="46" t="s">
        <v>66</v>
      </c>
      <c r="C12" s="11">
        <f>-'Fane 10. Bortfald'!D12</f>
        <v>0</v>
      </c>
      <c r="D12" s="8" t="s">
        <v>2</v>
      </c>
      <c r="E12" s="12"/>
      <c r="F12" s="13"/>
      <c r="G12" s="1"/>
    </row>
    <row r="13" spans="1:9" ht="15" customHeight="1" x14ac:dyDescent="0.25">
      <c r="A13" s="1"/>
      <c r="B13" s="46" t="s">
        <v>65</v>
      </c>
      <c r="C13" s="11">
        <f>-'Fane 10. Bortfald'!F12</f>
        <v>0</v>
      </c>
      <c r="D13" s="8" t="s">
        <v>2</v>
      </c>
      <c r="E13" s="12"/>
      <c r="F13" s="13"/>
      <c r="G13" s="1"/>
    </row>
    <row r="14" spans="1:9" ht="15" customHeight="1" x14ac:dyDescent="0.25">
      <c r="A14" s="1"/>
      <c r="B14" s="46" t="s">
        <v>37</v>
      </c>
      <c r="C14" s="11">
        <f>C9*Prisudvikling2018+SUM(C10:C13)*Prisudvikling2019</f>
        <v>664312.89254883491</v>
      </c>
      <c r="D14" s="8" t="s">
        <v>2</v>
      </c>
      <c r="E14" s="12"/>
      <c r="F14" s="13"/>
      <c r="G14" s="1"/>
    </row>
    <row r="15" spans="1:9" ht="15" customHeight="1" x14ac:dyDescent="0.25">
      <c r="A15" s="1"/>
      <c r="B15" s="46" t="s">
        <v>13</v>
      </c>
      <c r="C15" s="11">
        <f>-SUM(C9:C14)*IndividueltKrav</f>
        <v>-141613.61835385728</v>
      </c>
      <c r="D15" s="8" t="s">
        <v>2</v>
      </c>
      <c r="E15" s="12"/>
      <c r="F15" s="13"/>
      <c r="G15" s="1"/>
    </row>
    <row r="16" spans="1:9" ht="15" customHeight="1" x14ac:dyDescent="0.25">
      <c r="A16" s="1"/>
      <c r="B16" s="46" t="s">
        <v>61</v>
      </c>
      <c r="C16" s="11">
        <f>-(('Fane 5. Generelt eff. krav'!G10-'Fane 5. Generelt eff. krav'!G9-'Fane 3. Omkostninger i ØR2018'!G12)*(1+Prisudvikling2018)*GenereltKravDrift2018+SUM(C10,C12)*(1+Prisudvikling2019)*GenereltKravDrift2019)</f>
        <v>-205372.27091604759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62</v>
      </c>
      <c r="C17" s="11">
        <f>-(('Fane 5. Generelt eff. krav'!G12-'Fane 5. Generelt eff. krav'!G11)*(1+Prisudvikling2018)*GenereltKravAnlæg2018+SUM(C11,C13)*(1+Prisudvikling2019)*GenereltKravAnlæg2019)</f>
        <v>-504471.80285642762</v>
      </c>
      <c r="D17" s="8" t="s">
        <v>2</v>
      </c>
      <c r="E17" s="15"/>
      <c r="F17" s="16"/>
      <c r="G17" s="1"/>
    </row>
    <row r="18" spans="1:7" ht="15" customHeight="1" x14ac:dyDescent="0.25">
      <c r="A18" s="1"/>
      <c r="B18" s="47" t="s">
        <v>40</v>
      </c>
      <c r="C18" s="17">
        <f>SUM(C9:C17)</f>
        <v>37773591.917498782</v>
      </c>
      <c r="D18" s="18" t="s">
        <v>2</v>
      </c>
      <c r="E18" s="17">
        <f>C18</f>
        <v>37773591.917498782</v>
      </c>
      <c r="F18" s="18" t="s">
        <v>2</v>
      </c>
      <c r="G18" s="1"/>
    </row>
    <row r="19" spans="1:7" ht="15" customHeight="1" x14ac:dyDescent="0.25">
      <c r="A19" s="1"/>
      <c r="B19" s="39" t="s">
        <v>74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134</v>
      </c>
      <c r="C20" s="11">
        <v>0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76</v>
      </c>
      <c r="C21" s="11">
        <f>-(C20*(GenereltKravDrift2018+IndividueltKrav))</f>
        <v>0</v>
      </c>
      <c r="D21" s="8" t="s">
        <v>2</v>
      </c>
      <c r="E21" s="12"/>
      <c r="F21" s="13"/>
      <c r="G21" s="1"/>
    </row>
    <row r="22" spans="1:7" ht="15" customHeight="1" x14ac:dyDescent="0.25">
      <c r="A22" s="1"/>
      <c r="B22" s="29" t="s">
        <v>77</v>
      </c>
      <c r="C22" s="17">
        <f>SUM(C20:C21)</f>
        <v>0</v>
      </c>
      <c r="D22" s="18" t="s">
        <v>2</v>
      </c>
      <c r="E22" s="17">
        <f>C22</f>
        <v>0</v>
      </c>
      <c r="F22" s="18" t="s">
        <v>2</v>
      </c>
      <c r="G22" s="1"/>
    </row>
    <row r="23" spans="1:7" ht="15" customHeight="1" x14ac:dyDescent="0.25">
      <c r="A23" s="1"/>
      <c r="B23" s="39" t="s">
        <v>22</v>
      </c>
      <c r="C23" s="40"/>
      <c r="D23" s="40"/>
      <c r="E23" s="40"/>
      <c r="F23" s="41"/>
      <c r="G23" s="1"/>
    </row>
    <row r="24" spans="1:7" ht="15" customHeight="1" x14ac:dyDescent="0.25">
      <c r="A24" s="1"/>
      <c r="B24" s="46" t="s">
        <v>22</v>
      </c>
      <c r="C24" s="11">
        <f>'Fane 4. Ikke-påvirkelige omk.'!E15</f>
        <v>5600049.2575305989</v>
      </c>
      <c r="D24" s="8" t="s">
        <v>2</v>
      </c>
      <c r="E24" s="12"/>
      <c r="F24" s="13"/>
      <c r="G24" s="1"/>
    </row>
    <row r="25" spans="1:7" ht="15" customHeight="1" x14ac:dyDescent="0.25">
      <c r="A25" s="1"/>
      <c r="B25" s="46" t="s">
        <v>79</v>
      </c>
      <c r="C25" s="11">
        <v>0</v>
      </c>
      <c r="D25" s="8" t="s">
        <v>2</v>
      </c>
      <c r="E25" s="12"/>
      <c r="F25" s="13"/>
      <c r="G25" s="1"/>
    </row>
    <row r="26" spans="1:7" ht="15" customHeight="1" x14ac:dyDescent="0.25">
      <c r="A26" s="1"/>
      <c r="B26" s="29" t="s">
        <v>80</v>
      </c>
      <c r="C26" s="17">
        <f>SUM(C24:C25)</f>
        <v>5600049.2575305989</v>
      </c>
      <c r="D26" s="18" t="s">
        <v>2</v>
      </c>
      <c r="E26" s="17">
        <f>C26</f>
        <v>5600049.2575305989</v>
      </c>
      <c r="F26" s="18" t="s">
        <v>2</v>
      </c>
      <c r="G26" s="1"/>
    </row>
    <row r="27" spans="1:7" ht="15" customHeight="1" x14ac:dyDescent="0.25">
      <c r="A27" s="1"/>
      <c r="B27" s="39" t="s">
        <v>50</v>
      </c>
      <c r="C27" s="40"/>
      <c r="D27" s="40"/>
      <c r="E27" s="40"/>
      <c r="F27" s="41"/>
      <c r="G27" s="1"/>
    </row>
    <row r="28" spans="1:7" ht="15" customHeight="1" x14ac:dyDescent="0.25">
      <c r="A28" s="1"/>
      <c r="B28" s="45" t="s">
        <v>81</v>
      </c>
      <c r="C28" s="7">
        <v>0</v>
      </c>
      <c r="D28" s="8" t="s">
        <v>2</v>
      </c>
      <c r="E28" s="33"/>
      <c r="F28" s="13"/>
      <c r="G28" s="1"/>
    </row>
    <row r="29" spans="1:7" ht="15" customHeight="1" x14ac:dyDescent="0.25">
      <c r="A29" s="1"/>
      <c r="B29" s="45" t="s">
        <v>51</v>
      </c>
      <c r="C29" s="7">
        <v>0</v>
      </c>
      <c r="D29" s="8" t="s">
        <v>2</v>
      </c>
      <c r="E29" s="32"/>
      <c r="F29" s="13"/>
      <c r="G29" s="1"/>
    </row>
    <row r="30" spans="1:7" ht="28.5" customHeight="1" x14ac:dyDescent="0.25">
      <c r="A30" s="1"/>
      <c r="B30" s="46" t="s">
        <v>52</v>
      </c>
      <c r="C30" s="7">
        <v>25750.463868102797</v>
      </c>
      <c r="D30" s="8" t="s">
        <v>2</v>
      </c>
      <c r="E30" s="32"/>
      <c r="F30" s="13"/>
      <c r="G30" s="1"/>
    </row>
    <row r="31" spans="1:7" ht="15" customHeight="1" x14ac:dyDescent="0.25">
      <c r="A31" s="1"/>
      <c r="B31" s="47" t="s">
        <v>53</v>
      </c>
      <c r="C31" s="17">
        <f>SUM(C28:C30)</f>
        <v>25750.463868102797</v>
      </c>
      <c r="D31" s="18" t="s">
        <v>2</v>
      </c>
      <c r="E31" s="17">
        <f>C31</f>
        <v>25750.463868102797</v>
      </c>
      <c r="F31" s="18" t="s">
        <v>2</v>
      </c>
      <c r="G31" s="1"/>
    </row>
    <row r="32" spans="1:7" x14ac:dyDescent="0.25">
      <c r="A32" s="1"/>
      <c r="B32" s="39" t="s">
        <v>15</v>
      </c>
      <c r="C32" s="40"/>
      <c r="D32" s="40"/>
      <c r="E32" s="40"/>
      <c r="F32" s="41"/>
      <c r="G32" s="1"/>
    </row>
    <row r="33" spans="1:7" ht="15" customHeight="1" x14ac:dyDescent="0.25">
      <c r="A33" s="1"/>
      <c r="B33" s="47" t="s">
        <v>24</v>
      </c>
      <c r="C33" s="17">
        <f>'Fane 6. Hist. over el. underdæk'!G13</f>
        <v>-1779333</v>
      </c>
      <c r="D33" s="18" t="s">
        <v>2</v>
      </c>
      <c r="E33" s="17">
        <f>C33</f>
        <v>-1779333</v>
      </c>
      <c r="F33" s="18" t="s">
        <v>2</v>
      </c>
      <c r="G33" s="1"/>
    </row>
    <row r="34" spans="1:7" x14ac:dyDescent="0.25">
      <c r="A34" s="1"/>
      <c r="B34" s="39" t="s">
        <v>33</v>
      </c>
      <c r="C34" s="40"/>
      <c r="D34" s="41"/>
      <c r="E34" s="20">
        <f>SUM(E18,E22,E26,E31,E33)</f>
        <v>41620058.638897486</v>
      </c>
      <c r="F34" s="21" t="s">
        <v>2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42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25</v>
      </c>
      <c r="C8" s="93"/>
      <c r="D8" s="93"/>
      <c r="E8" s="93"/>
      <c r="F8" s="94"/>
      <c r="G8" s="1"/>
    </row>
    <row r="9" spans="1:7" ht="15" customHeight="1" x14ac:dyDescent="0.25">
      <c r="A9" s="1"/>
      <c r="B9" s="45" t="s">
        <v>55</v>
      </c>
      <c r="C9" s="7">
        <f>'Fane 2.1. Økonomisk ramme 2019'!E18</f>
        <v>37773591.917498782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SUM(C9:C9)*Prisudvikling2019</f>
        <v>638373.70340572938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-140832.37418819341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('Fane 2.1. Økonomisk ramme 2019'!C16/GenereltKravDrift2018-'Fane 2.1. Økonomisk ramme 2019'!C16)*(1+Prisudvikling2019)*GenereltKravDrift2019</f>
        <v>-204666.20104863821</v>
      </c>
      <c r="D12" s="8" t="s">
        <v>2</v>
      </c>
      <c r="E12" s="14"/>
      <c r="F12" s="13"/>
      <c r="G12" s="1"/>
    </row>
    <row r="13" spans="1:7" ht="15" customHeight="1" x14ac:dyDescent="0.25">
      <c r="A13" s="1"/>
      <c r="B13" s="46" t="s">
        <v>62</v>
      </c>
      <c r="C13" s="11">
        <f>(('Fane 2.1. Økonomisk ramme 2019'!C17/GenereltKravAnlæg2018-'Fane 2.1. Økonomisk ramme 2019'!C17)*(1+Prisudvikling2019)*GenereltKravAnlæg2019)</f>
        <v>-247688.17559574347</v>
      </c>
      <c r="D13" s="8" t="s">
        <v>2</v>
      </c>
      <c r="E13" s="15"/>
      <c r="F13" s="16"/>
      <c r="G13" s="1"/>
    </row>
    <row r="14" spans="1:7" ht="15" customHeight="1" x14ac:dyDescent="0.25">
      <c r="A14" s="1"/>
      <c r="B14" s="47" t="s">
        <v>40</v>
      </c>
      <c r="C14" s="17">
        <f>SUM(C9:C13)</f>
        <v>37818778.87007194</v>
      </c>
      <c r="D14" s="18" t="s">
        <v>2</v>
      </c>
      <c r="E14" s="17">
        <f>C14</f>
        <v>37818778.87007194</v>
      </c>
      <c r="F14" s="18" t="s">
        <v>2</v>
      </c>
      <c r="G14" s="1"/>
    </row>
    <row r="15" spans="1:7" ht="15" customHeight="1" x14ac:dyDescent="0.25">
      <c r="A15" s="1"/>
      <c r="B15" s="92" t="s">
        <v>74</v>
      </c>
      <c r="C15" s="93"/>
      <c r="D15" s="93"/>
      <c r="E15" s="93"/>
      <c r="F15" s="94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92" t="s">
        <v>22</v>
      </c>
      <c r="C19" s="93"/>
      <c r="D19" s="93"/>
      <c r="E19" s="93"/>
      <c r="F19" s="94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</f>
        <v>5694690.0899828654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5694690.0899828654</v>
      </c>
      <c r="D22" s="18" t="s">
        <v>2</v>
      </c>
      <c r="E22" s="17">
        <f>C22</f>
        <v>5694690.0899828654</v>
      </c>
      <c r="F22" s="18" t="s">
        <v>2</v>
      </c>
      <c r="G22" s="1"/>
    </row>
    <row r="23" spans="1:7" x14ac:dyDescent="0.25">
      <c r="A23" s="1"/>
      <c r="B23" s="92" t="s">
        <v>15</v>
      </c>
      <c r="C23" s="93"/>
      <c r="D23" s="93"/>
      <c r="E23" s="93"/>
      <c r="F23" s="94"/>
      <c r="G23" s="1"/>
    </row>
    <row r="24" spans="1:7" ht="15" customHeight="1" x14ac:dyDescent="0.25">
      <c r="A24" s="1"/>
      <c r="B24" s="29" t="s">
        <v>24</v>
      </c>
      <c r="C24" s="17">
        <f>IF('Fane 6. Hist. over el. underdæk'!G12&gt;1,'Fane 6. Hist. over el. underdæk'!G13,0)</f>
        <v>-1779333</v>
      </c>
      <c r="D24" s="18" t="s">
        <v>2</v>
      </c>
      <c r="E24" s="17">
        <f>C24</f>
        <v>-1779333</v>
      </c>
      <c r="F24" s="18" t="s">
        <v>2</v>
      </c>
      <c r="G24" s="1"/>
    </row>
    <row r="25" spans="1:7" x14ac:dyDescent="0.25">
      <c r="A25" s="1"/>
      <c r="B25" s="92" t="s">
        <v>116</v>
      </c>
      <c r="C25" s="93"/>
      <c r="D25" s="93"/>
      <c r="E25" s="93"/>
      <c r="F25" s="94"/>
      <c r="G25" s="1"/>
    </row>
    <row r="26" spans="1:7" ht="15" customHeight="1" x14ac:dyDescent="0.25">
      <c r="A26" s="1"/>
      <c r="B26" s="29" t="s">
        <v>108</v>
      </c>
      <c r="C26" s="17">
        <f>'Fane 7. Kontrol af ØR2017'!G22</f>
        <v>0</v>
      </c>
      <c r="D26" s="18" t="s">
        <v>2</v>
      </c>
      <c r="E26" s="17">
        <f>C26</f>
        <v>0</v>
      </c>
      <c r="F26" s="18" t="s">
        <v>2</v>
      </c>
      <c r="G26" s="1"/>
    </row>
    <row r="27" spans="1:7" x14ac:dyDescent="0.25">
      <c r="A27" s="1"/>
      <c r="B27" s="39" t="s">
        <v>56</v>
      </c>
      <c r="C27" s="40"/>
      <c r="D27" s="41"/>
      <c r="E27" s="20">
        <f>SUM(E14,E18,E22,E24,E26)</f>
        <v>41734135.960054807</v>
      </c>
      <c r="F27" s="21" t="s">
        <v>2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7">
    <mergeCell ref="B3:F4"/>
    <mergeCell ref="B5:F5"/>
    <mergeCell ref="B25:F25"/>
    <mergeCell ref="B23:F23"/>
    <mergeCell ref="B19:F19"/>
    <mergeCell ref="B15:F15"/>
    <mergeCell ref="B8:F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91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25</v>
      </c>
      <c r="C8" s="40"/>
      <c r="D8" s="40"/>
      <c r="E8" s="40"/>
      <c r="F8" s="41"/>
      <c r="G8" s="1"/>
    </row>
    <row r="9" spans="1:7" ht="27.75" customHeight="1" x14ac:dyDescent="0.25">
      <c r="A9" s="1"/>
      <c r="B9" s="45" t="s">
        <v>57</v>
      </c>
      <c r="C9" s="7">
        <f>'Fane 2.2. Økonomisk ramme 2020'!E14</f>
        <v>37818778.87007194</v>
      </c>
      <c r="D9" s="8" t="s">
        <v>2</v>
      </c>
      <c r="E9" s="9"/>
      <c r="F9" s="10"/>
      <c r="G9" s="1"/>
    </row>
    <row r="10" spans="1:7" ht="15" customHeight="1" x14ac:dyDescent="0.25">
      <c r="A10" s="1"/>
      <c r="B10" s="46" t="s">
        <v>37</v>
      </c>
      <c r="C10" s="11">
        <f>C9*Prisudvikling2019</f>
        <v>639137.3629042157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13</v>
      </c>
      <c r="C11" s="11">
        <f>-SUM(C9:C10)*IndividueltKrav</f>
        <v>-141000.8460091181</v>
      </c>
      <c r="D11" s="8" t="s">
        <v>2</v>
      </c>
      <c r="E11" s="12"/>
      <c r="F11" s="13"/>
      <c r="G11" s="1"/>
    </row>
    <row r="12" spans="1:7" ht="15" customHeight="1" x14ac:dyDescent="0.25">
      <c r="A12" s="1"/>
      <c r="B12" s="46" t="s">
        <v>61</v>
      </c>
      <c r="C12" s="11">
        <f>(('Fane 2.2. Økonomisk ramme 2020'!C12/GenereltKravDrift2019-'Fane 2.2. Økonomisk ramme 2020'!C12)*(1+Prisudvikling2019)*GenereltKravDrift2019)</f>
        <v>-203962.55864943296</v>
      </c>
      <c r="D12" s="8" t="s">
        <v>2</v>
      </c>
      <c r="E12" s="15"/>
      <c r="F12" s="16"/>
      <c r="G12" s="1"/>
    </row>
    <row r="13" spans="1:7" ht="15" customHeight="1" x14ac:dyDescent="0.25">
      <c r="A13" s="1"/>
      <c r="B13" s="46" t="s">
        <v>62</v>
      </c>
      <c r="C13" s="11">
        <f>(('Fane 2.2. Økonomisk ramme 2020'!C13/GenereltKravAnlæg2019-'Fane 2.2. Økonomisk ramme 2020'!C13)*(1+Prisudvikling2019)*GenereltKravAnlæg2019)</f>
        <v>-249682.80104317071</v>
      </c>
      <c r="D13" s="8" t="s">
        <v>2</v>
      </c>
      <c r="E13" s="15"/>
      <c r="F13" s="16"/>
      <c r="G13" s="1"/>
    </row>
    <row r="14" spans="1:7" x14ac:dyDescent="0.25">
      <c r="A14" s="1"/>
      <c r="B14" s="47" t="s">
        <v>40</v>
      </c>
      <c r="C14" s="17">
        <f>SUM(C9:C13)</f>
        <v>37863270.02727443</v>
      </c>
      <c r="D14" s="18" t="s">
        <v>2</v>
      </c>
      <c r="E14" s="17">
        <f>C14</f>
        <v>37863270.02727443</v>
      </c>
      <c r="F14" s="18" t="s">
        <v>2</v>
      </c>
      <c r="G14" s="1"/>
    </row>
    <row r="15" spans="1:7" x14ac:dyDescent="0.25">
      <c r="A15" s="1"/>
      <c r="B15" s="39" t="s">
        <v>74</v>
      </c>
      <c r="C15" s="40"/>
      <c r="D15" s="40"/>
      <c r="E15" s="40"/>
      <c r="F15" s="41"/>
      <c r="G15" s="1"/>
    </row>
    <row r="16" spans="1:7" ht="15" customHeight="1" x14ac:dyDescent="0.25">
      <c r="A16" s="1"/>
      <c r="B16" s="46" t="s">
        <v>134</v>
      </c>
      <c r="C16" s="11"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46" t="s">
        <v>76</v>
      </c>
      <c r="C17" s="11">
        <f>-(C16*(GenereltKravDrift2019+IndividueltKrav))</f>
        <v>0</v>
      </c>
      <c r="D17" s="8" t="s">
        <v>2</v>
      </c>
      <c r="E17" s="12"/>
      <c r="F17" s="13"/>
      <c r="G17" s="1"/>
    </row>
    <row r="18" spans="1:7" ht="15" customHeight="1" x14ac:dyDescent="0.25">
      <c r="A18" s="1"/>
      <c r="B18" s="29" t="s">
        <v>77</v>
      </c>
      <c r="C18" s="17">
        <f>SUM(C16:C17)</f>
        <v>0</v>
      </c>
      <c r="D18" s="18" t="s">
        <v>2</v>
      </c>
      <c r="E18" s="17">
        <f>C18</f>
        <v>0</v>
      </c>
      <c r="F18" s="18" t="s">
        <v>2</v>
      </c>
      <c r="G18" s="1"/>
    </row>
    <row r="19" spans="1:7" x14ac:dyDescent="0.25">
      <c r="A19" s="1"/>
      <c r="B19" s="39" t="s">
        <v>22</v>
      </c>
      <c r="C19" s="40"/>
      <c r="D19" s="40"/>
      <c r="E19" s="40"/>
      <c r="F19" s="41"/>
      <c r="G19" s="1"/>
    </row>
    <row r="20" spans="1:7" ht="15" customHeight="1" x14ac:dyDescent="0.25">
      <c r="A20" s="1"/>
      <c r="B20" s="46" t="s">
        <v>22</v>
      </c>
      <c r="C20" s="11">
        <f>'Fane 4. Ikke-påvirkelige omk.'!E15*(1+Prisudvikling2019)^2</f>
        <v>5790930.3525035754</v>
      </c>
      <c r="D20" s="8" t="s">
        <v>2</v>
      </c>
      <c r="E20" s="12"/>
      <c r="F20" s="13"/>
      <c r="G20" s="1"/>
    </row>
    <row r="21" spans="1:7" ht="15" customHeight="1" x14ac:dyDescent="0.25">
      <c r="A21" s="1"/>
      <c r="B21" s="46" t="s">
        <v>79</v>
      </c>
      <c r="C21" s="11">
        <v>0</v>
      </c>
      <c r="D21" s="8" t="s">
        <v>2</v>
      </c>
      <c r="E21" s="14"/>
      <c r="F21" s="13"/>
      <c r="G21" s="1"/>
    </row>
    <row r="22" spans="1:7" ht="15" customHeight="1" x14ac:dyDescent="0.25">
      <c r="A22" s="1"/>
      <c r="B22" s="29" t="s">
        <v>80</v>
      </c>
      <c r="C22" s="17">
        <f>SUM(C20:C21)</f>
        <v>5790930.3525035754</v>
      </c>
      <c r="D22" s="18" t="s">
        <v>2</v>
      </c>
      <c r="E22" s="17">
        <f>C22</f>
        <v>5790930.3525035754</v>
      </c>
      <c r="F22" s="18" t="s">
        <v>2</v>
      </c>
      <c r="G22" s="1"/>
    </row>
    <row r="23" spans="1:7" ht="15" customHeight="1" x14ac:dyDescent="0.25">
      <c r="A23" s="1"/>
      <c r="B23" s="39" t="s">
        <v>116</v>
      </c>
      <c r="C23" s="40"/>
      <c r="D23" s="40"/>
      <c r="E23" s="40"/>
      <c r="F23" s="41"/>
      <c r="G23" s="1"/>
    </row>
    <row r="24" spans="1:7" ht="15" customHeight="1" x14ac:dyDescent="0.25">
      <c r="A24" s="1"/>
      <c r="B24" s="29" t="s">
        <v>108</v>
      </c>
      <c r="C24" s="17">
        <f>'Fane 2.2. Økonomisk ramme 2020'!C26*(1+Prisudvikling2019)</f>
        <v>0</v>
      </c>
      <c r="D24" s="18" t="s">
        <v>2</v>
      </c>
      <c r="E24" s="17">
        <f>C24</f>
        <v>0</v>
      </c>
      <c r="F24" s="18" t="s">
        <v>2</v>
      </c>
      <c r="G24" s="1"/>
    </row>
    <row r="25" spans="1:7" x14ac:dyDescent="0.25">
      <c r="A25" s="1"/>
      <c r="B25" s="39" t="s">
        <v>68</v>
      </c>
      <c r="C25" s="40"/>
      <c r="D25" s="41"/>
      <c r="E25" s="20">
        <f>SUM(E14,E18,E22,E24)</f>
        <v>43654200.379778005</v>
      </c>
      <c r="F25" s="21" t="s">
        <v>2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0.710937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92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91" t="s">
        <v>43</v>
      </c>
      <c r="C5" s="91"/>
      <c r="D5" s="91"/>
      <c r="E5" s="91"/>
      <c r="F5" s="9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25</v>
      </c>
      <c r="C7" s="40"/>
      <c r="D7" s="40"/>
      <c r="E7" s="40"/>
      <c r="F7" s="41"/>
      <c r="G7" s="1"/>
    </row>
    <row r="8" spans="1:7" ht="27.75" customHeight="1" x14ac:dyDescent="0.25">
      <c r="A8" s="1"/>
      <c r="B8" s="45" t="s">
        <v>58</v>
      </c>
      <c r="C8" s="7">
        <f>'Fane 2.3. Økonomisk ramme 2021'!E14</f>
        <v>37863270.02727443</v>
      </c>
      <c r="D8" s="8" t="s">
        <v>2</v>
      </c>
      <c r="E8" s="9"/>
      <c r="F8" s="10"/>
      <c r="G8" s="1"/>
    </row>
    <row r="9" spans="1:7" ht="15" customHeight="1" x14ac:dyDescent="0.25">
      <c r="A9" s="1"/>
      <c r="B9" s="46" t="s">
        <v>37</v>
      </c>
      <c r="C9" s="11">
        <f>C8*Prisudvikling2019</f>
        <v>639889.26346093777</v>
      </c>
      <c r="D9" s="8" t="s">
        <v>2</v>
      </c>
      <c r="E9" s="12"/>
      <c r="F9" s="13"/>
      <c r="G9" s="1"/>
    </row>
    <row r="10" spans="1:7" ht="15" customHeight="1" x14ac:dyDescent="0.25">
      <c r="A10" s="1"/>
      <c r="B10" s="46" t="s">
        <v>13</v>
      </c>
      <c r="C10" s="11">
        <f>-SUM(C8:C9)*IndividueltKrav</f>
        <v>-141166.72367605779</v>
      </c>
      <c r="D10" s="8" t="s">
        <v>2</v>
      </c>
      <c r="E10" s="12"/>
      <c r="F10" s="13"/>
      <c r="G10" s="1"/>
    </row>
    <row r="11" spans="1:7" ht="15" customHeight="1" x14ac:dyDescent="0.25">
      <c r="A11" s="1"/>
      <c r="B11" s="46" t="s">
        <v>61</v>
      </c>
      <c r="C11" s="11">
        <f>('Fane 2.3. Økonomisk ramme 2021'!C12/GenereltKravDrift2019-'Fane 2.3. Økonomisk ramme 2021'!C12)*(1+Prisudvikling2019)*GenereltKravDrift2019</f>
        <v>-203261.33537279617</v>
      </c>
      <c r="D11" s="8" t="s">
        <v>2</v>
      </c>
      <c r="E11" s="14"/>
      <c r="F11" s="13"/>
      <c r="G11" s="1"/>
    </row>
    <row r="12" spans="1:7" ht="15" customHeight="1" x14ac:dyDescent="0.25">
      <c r="A12" s="1"/>
      <c r="B12" s="46" t="s">
        <v>62</v>
      </c>
      <c r="C12" s="11">
        <f>('Fane 2.3. Økonomisk ramme 2021'!C13/GenereltKravAnlæg2019-'Fane 2.3. Økonomisk ramme 2021'!C13)*(1+Prisudvikling2019)*GenereltKravAnlæg2019</f>
        <v>-251693.48914948732</v>
      </c>
      <c r="D12" s="8" t="s">
        <v>2</v>
      </c>
      <c r="E12" s="15"/>
      <c r="F12" s="16"/>
      <c r="G12" s="1"/>
    </row>
    <row r="13" spans="1:7" x14ac:dyDescent="0.25">
      <c r="A13" s="1"/>
      <c r="B13" s="47" t="s">
        <v>40</v>
      </c>
      <c r="C13" s="17">
        <f>SUM(C8:C12)</f>
        <v>37907037.742537022</v>
      </c>
      <c r="D13" s="18" t="s">
        <v>2</v>
      </c>
      <c r="E13" s="17">
        <f>C13</f>
        <v>37907037.742537022</v>
      </c>
      <c r="F13" s="18" t="s">
        <v>2</v>
      </c>
      <c r="G13" s="1"/>
    </row>
    <row r="14" spans="1:7" x14ac:dyDescent="0.25">
      <c r="A14" s="1"/>
      <c r="B14" s="39" t="s">
        <v>74</v>
      </c>
      <c r="C14" s="40"/>
      <c r="D14" s="40"/>
      <c r="E14" s="40"/>
      <c r="F14" s="41"/>
      <c r="G14" s="1"/>
    </row>
    <row r="15" spans="1:7" ht="15" customHeight="1" x14ac:dyDescent="0.25">
      <c r="A15" s="1"/>
      <c r="B15" s="46" t="s">
        <v>134</v>
      </c>
      <c r="C15" s="11">
        <v>0</v>
      </c>
      <c r="D15" s="8" t="s">
        <v>2</v>
      </c>
      <c r="E15" s="12"/>
      <c r="F15" s="13"/>
      <c r="G15" s="1"/>
    </row>
    <row r="16" spans="1:7" ht="15" customHeight="1" x14ac:dyDescent="0.25">
      <c r="A16" s="1"/>
      <c r="B16" s="46" t="s">
        <v>76</v>
      </c>
      <c r="C16" s="11">
        <f>-(C15*(GenereltKravDrift2019+IndividueltKrav))</f>
        <v>0</v>
      </c>
      <c r="D16" s="8" t="s">
        <v>2</v>
      </c>
      <c r="E16" s="12"/>
      <c r="F16" s="13"/>
      <c r="G16" s="1"/>
    </row>
    <row r="17" spans="1:7" ht="15" customHeight="1" x14ac:dyDescent="0.25">
      <c r="A17" s="1"/>
      <c r="B17" s="29" t="s">
        <v>77</v>
      </c>
      <c r="C17" s="17">
        <f>SUM(C15:C16)</f>
        <v>0</v>
      </c>
      <c r="D17" s="18" t="s">
        <v>2</v>
      </c>
      <c r="E17" s="17">
        <f>C17</f>
        <v>0</v>
      </c>
      <c r="F17" s="18" t="s">
        <v>2</v>
      </c>
      <c r="G17" s="1"/>
    </row>
    <row r="18" spans="1:7" x14ac:dyDescent="0.25">
      <c r="A18" s="1"/>
      <c r="B18" s="39" t="s">
        <v>22</v>
      </c>
      <c r="C18" s="40"/>
      <c r="D18" s="40"/>
      <c r="E18" s="40"/>
      <c r="F18" s="41"/>
      <c r="G18" s="1"/>
    </row>
    <row r="19" spans="1:7" ht="15" customHeight="1" x14ac:dyDescent="0.25">
      <c r="A19" s="1"/>
      <c r="B19" s="46" t="s">
        <v>22</v>
      </c>
      <c r="C19" s="11">
        <f>'Fane 4. Ikke-påvirkelige omk.'!E15*(1+Prisudvikling2019)^3</f>
        <v>5888797.0754608847</v>
      </c>
      <c r="D19" s="8" t="s">
        <v>2</v>
      </c>
      <c r="E19" s="12"/>
      <c r="F19" s="13"/>
      <c r="G19" s="1"/>
    </row>
    <row r="20" spans="1:7" ht="15" customHeight="1" x14ac:dyDescent="0.25">
      <c r="A20" s="1"/>
      <c r="B20" s="46" t="s">
        <v>79</v>
      </c>
      <c r="C20" s="11">
        <v>0</v>
      </c>
      <c r="D20" s="8" t="s">
        <v>2</v>
      </c>
      <c r="E20" s="14"/>
      <c r="F20" s="13"/>
      <c r="G20" s="1"/>
    </row>
    <row r="21" spans="1:7" ht="15" customHeight="1" x14ac:dyDescent="0.25">
      <c r="A21" s="1"/>
      <c r="B21" s="29" t="s">
        <v>80</v>
      </c>
      <c r="C21" s="17">
        <f>SUM(C19:C20)</f>
        <v>5888797.0754608847</v>
      </c>
      <c r="D21" s="18" t="s">
        <v>2</v>
      </c>
      <c r="E21" s="17">
        <f>C21</f>
        <v>5888797.0754608847</v>
      </c>
      <c r="F21" s="18" t="s">
        <v>2</v>
      </c>
      <c r="G21" s="1"/>
    </row>
    <row r="22" spans="1:7" x14ac:dyDescent="0.25">
      <c r="A22" s="1"/>
      <c r="B22" s="39" t="s">
        <v>78</v>
      </c>
      <c r="C22" s="40"/>
      <c r="D22" s="41"/>
      <c r="E22" s="20">
        <f>SUM(E13,E17,E21)</f>
        <v>43795834.817997903</v>
      </c>
      <c r="F22" s="21" t="s">
        <v>2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710937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5" t="s">
        <v>93</v>
      </c>
      <c r="C3" s="95"/>
      <c r="D3" s="95"/>
      <c r="E3" s="95"/>
      <c r="F3" s="95"/>
      <c r="G3" s="95"/>
      <c r="H3" s="95"/>
      <c r="I3" s="1"/>
    </row>
    <row r="4" spans="1:9" ht="29.25" customHeight="1" x14ac:dyDescent="0.25">
      <c r="A4" s="1"/>
      <c r="B4" s="95"/>
      <c r="C4" s="95"/>
      <c r="D4" s="95"/>
      <c r="E4" s="95"/>
      <c r="F4" s="95"/>
      <c r="G4" s="95"/>
      <c r="H4" s="95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49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32</v>
      </c>
      <c r="C9" s="43"/>
      <c r="D9" s="43"/>
      <c r="E9" s="43"/>
      <c r="F9" s="44"/>
      <c r="G9" s="11">
        <v>43628471.693505473</v>
      </c>
      <c r="H9" s="22" t="s">
        <v>2</v>
      </c>
      <c r="I9" s="1"/>
    </row>
    <row r="10" spans="1:9" x14ac:dyDescent="0.25">
      <c r="A10" s="1"/>
      <c r="B10" s="50" t="s">
        <v>73</v>
      </c>
      <c r="C10" s="43"/>
      <c r="D10" s="43"/>
      <c r="E10" s="43"/>
      <c r="F10" s="44"/>
      <c r="G10" s="11">
        <v>0</v>
      </c>
      <c r="H10" s="22" t="s">
        <v>2</v>
      </c>
      <c r="I10" s="1"/>
    </row>
    <row r="11" spans="1:9" x14ac:dyDescent="0.25">
      <c r="A11" s="1"/>
      <c r="B11" s="50" t="s">
        <v>48</v>
      </c>
      <c r="C11" s="43"/>
      <c r="D11" s="43"/>
      <c r="E11" s="43"/>
      <c r="F11" s="44"/>
      <c r="G11" s="11">
        <v>5667734.976429197</v>
      </c>
      <c r="H11" s="22" t="s">
        <v>2</v>
      </c>
      <c r="I11" s="1"/>
    </row>
    <row r="12" spans="1:9" x14ac:dyDescent="0.25">
      <c r="A12" s="1"/>
      <c r="B12" s="50" t="s">
        <v>75</v>
      </c>
      <c r="C12" s="43"/>
      <c r="D12" s="43"/>
      <c r="E12" s="43"/>
      <c r="F12" s="44"/>
      <c r="G12" s="11">
        <v>0</v>
      </c>
      <c r="H12" s="22" t="s">
        <v>2</v>
      </c>
      <c r="I12" s="1"/>
    </row>
    <row r="13" spans="1:9" ht="26.25" customHeight="1" x14ac:dyDescent="0.25">
      <c r="A13" s="1"/>
      <c r="B13" s="51" t="s">
        <v>59</v>
      </c>
      <c r="C13" s="40"/>
      <c r="D13" s="40"/>
      <c r="E13" s="40"/>
      <c r="F13" s="41"/>
      <c r="G13" s="34">
        <f>G9-G10-G11</f>
        <v>37960736.717076279</v>
      </c>
      <c r="H13" s="35" t="s">
        <v>2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9.140625" style="2"/>
    <col min="3" max="3" width="20.28515625" style="2" customWidth="1"/>
    <col min="4" max="4" width="9.140625" style="2" customWidth="1"/>
    <col min="5" max="5" width="24.7109375" style="2" customWidth="1"/>
    <col min="6" max="6" width="3.28515625" style="2" customWidth="1"/>
    <col min="7" max="7" width="7.85546875" style="2" customWidth="1"/>
    <col min="8" max="8" width="0" style="2" hidden="1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90" t="s">
        <v>102</v>
      </c>
      <c r="C3" s="90"/>
      <c r="D3" s="90"/>
      <c r="E3" s="90"/>
      <c r="F3" s="90"/>
      <c r="G3" s="1"/>
      <c r="H3" s="1"/>
    </row>
    <row r="4" spans="1:8" ht="15" customHeight="1" x14ac:dyDescent="0.25">
      <c r="A4" s="1"/>
      <c r="B4" s="90"/>
      <c r="C4" s="90"/>
      <c r="D4" s="90"/>
      <c r="E4" s="90"/>
      <c r="F4" s="90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9" t="s">
        <v>60</v>
      </c>
      <c r="C8" s="40"/>
      <c r="D8" s="40"/>
      <c r="E8" s="40"/>
      <c r="F8" s="41"/>
      <c r="G8" s="1"/>
      <c r="H8" s="1"/>
    </row>
    <row r="9" spans="1:8" ht="15" customHeight="1" x14ac:dyDescent="0.25">
      <c r="A9" s="1"/>
      <c r="B9" s="47" t="s">
        <v>111</v>
      </c>
      <c r="C9" s="30"/>
      <c r="D9" s="37"/>
      <c r="E9" s="52" t="s">
        <v>47</v>
      </c>
      <c r="F9" s="18"/>
      <c r="G9" s="1"/>
      <c r="H9" s="1"/>
    </row>
    <row r="10" spans="1:8" x14ac:dyDescent="0.25">
      <c r="A10" s="1"/>
      <c r="B10" s="96" t="s">
        <v>136</v>
      </c>
      <c r="C10" s="97"/>
      <c r="D10" s="98"/>
      <c r="E10" s="11">
        <v>36656</v>
      </c>
      <c r="F10" s="22" t="s">
        <v>2</v>
      </c>
      <c r="G10" s="1"/>
      <c r="H10" s="1"/>
    </row>
    <row r="11" spans="1:8" x14ac:dyDescent="0.25">
      <c r="A11" s="1"/>
      <c r="B11" s="63" t="s">
        <v>137</v>
      </c>
      <c r="C11" s="64"/>
      <c r="D11" s="65"/>
      <c r="E11" s="11">
        <v>3988044</v>
      </c>
      <c r="F11" s="22" t="s">
        <v>2</v>
      </c>
      <c r="G11" s="1"/>
      <c r="H11" s="1"/>
    </row>
    <row r="12" spans="1:8" x14ac:dyDescent="0.25">
      <c r="A12" s="1"/>
      <c r="B12" s="96" t="s">
        <v>138</v>
      </c>
      <c r="C12" s="97"/>
      <c r="D12" s="98"/>
      <c r="E12" s="11">
        <v>1209120</v>
      </c>
      <c r="F12" s="22" t="s">
        <v>2</v>
      </c>
      <c r="G12" s="1"/>
      <c r="H12" s="1"/>
    </row>
    <row r="13" spans="1:8" x14ac:dyDescent="0.25">
      <c r="A13" s="1"/>
      <c r="B13" s="96" t="s">
        <v>139</v>
      </c>
      <c r="C13" s="97"/>
      <c r="D13" s="98"/>
      <c r="E13" s="11">
        <v>181640</v>
      </c>
      <c r="F13" s="22" t="s">
        <v>2</v>
      </c>
      <c r="G13" s="1"/>
      <c r="H13" s="1"/>
    </row>
    <row r="14" spans="1:8" x14ac:dyDescent="0.25">
      <c r="A14" s="1"/>
      <c r="B14" s="92" t="s">
        <v>128</v>
      </c>
      <c r="C14" s="93"/>
      <c r="D14" s="94"/>
      <c r="E14" s="20">
        <f>SUM(E10:E13)</f>
        <v>5415460</v>
      </c>
      <c r="F14" s="21" t="s">
        <v>2</v>
      </c>
      <c r="G14" s="1"/>
      <c r="H14" s="1"/>
    </row>
    <row r="15" spans="1:8" x14ac:dyDescent="0.25">
      <c r="A15" s="1"/>
      <c r="B15" s="92" t="s">
        <v>129</v>
      </c>
      <c r="C15" s="93"/>
      <c r="D15" s="94"/>
      <c r="E15" s="20">
        <f>E14*(1+Prisudvikling2019)^2</f>
        <v>5600049.2575305989</v>
      </c>
      <c r="F15" s="21" t="s">
        <v>2</v>
      </c>
      <c r="G15" s="1"/>
      <c r="H15" s="1"/>
    </row>
    <row r="16" spans="1:8" x14ac:dyDescent="0.25">
      <c r="A16" s="1"/>
      <c r="B16" s="24"/>
      <c r="C16" s="23"/>
      <c r="D16" s="23"/>
      <c r="E16" s="23"/>
      <c r="F16" s="23"/>
      <c r="G16" s="1"/>
      <c r="H16" s="1"/>
    </row>
    <row r="17" spans="1:8" x14ac:dyDescent="0.25">
      <c r="A17" s="1"/>
      <c r="B17" s="23"/>
      <c r="C17" s="23"/>
      <c r="D17" s="23"/>
      <c r="E17" s="23"/>
      <c r="F17" s="23"/>
      <c r="G17" s="1"/>
      <c r="H17" s="1"/>
    </row>
    <row r="18" spans="1:8" x14ac:dyDescent="0.25">
      <c r="A18" s="1"/>
      <c r="B18" s="1"/>
      <c r="C18" s="1"/>
      <c r="D18" s="1"/>
      <c r="E18" s="23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6">
    <mergeCell ref="B3:F4"/>
    <mergeCell ref="B14:D14"/>
    <mergeCell ref="B15:D15"/>
    <mergeCell ref="B10:D10"/>
    <mergeCell ref="B12:D12"/>
    <mergeCell ref="B13:D13"/>
  </mergeCells>
  <pageMargins left="0.82291666666666663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5" width="9.140625" style="2"/>
    <col min="6" max="6" width="23.42578125" style="2" customWidth="1"/>
    <col min="7" max="7" width="10.28515625" style="2" customWidth="1"/>
    <col min="8" max="8" width="3.28515625" style="2" customWidth="1"/>
    <col min="9" max="9" width="6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120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14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82</v>
      </c>
      <c r="C9" s="43"/>
      <c r="D9" s="43"/>
      <c r="E9" s="43"/>
      <c r="F9" s="44"/>
      <c r="G9" s="56">
        <v>205959.25479220535</v>
      </c>
      <c r="H9" s="22" t="s">
        <v>2</v>
      </c>
      <c r="I9" s="1"/>
    </row>
    <row r="10" spans="1:9" x14ac:dyDescent="0.25">
      <c r="A10" s="1"/>
      <c r="B10" s="42" t="s">
        <v>83</v>
      </c>
      <c r="C10" s="43"/>
      <c r="D10" s="43"/>
      <c r="E10" s="43"/>
      <c r="F10" s="44"/>
      <c r="G10" s="56">
        <f>G9/GenereltKravDrift2018</f>
        <v>10297962.739610268</v>
      </c>
      <c r="H10" s="22" t="s">
        <v>2</v>
      </c>
      <c r="I10" s="1"/>
    </row>
    <row r="11" spans="1:9" x14ac:dyDescent="0.25">
      <c r="A11" s="1"/>
      <c r="B11" s="42" t="s">
        <v>84</v>
      </c>
      <c r="C11" s="43"/>
      <c r="D11" s="43"/>
      <c r="E11" s="43"/>
      <c r="F11" s="44"/>
      <c r="G11" s="56">
        <v>504729.08850929519</v>
      </c>
      <c r="H11" s="22" t="s">
        <v>2</v>
      </c>
      <c r="I11" s="1"/>
    </row>
    <row r="12" spans="1:9" x14ac:dyDescent="0.25">
      <c r="A12" s="1"/>
      <c r="B12" s="42" t="s">
        <v>85</v>
      </c>
      <c r="C12" s="43"/>
      <c r="D12" s="43"/>
      <c r="E12" s="43"/>
      <c r="F12" s="44"/>
      <c r="G12" s="56">
        <f>G11/GenereltKravAnlæg2018</f>
        <v>28515767.712389559</v>
      </c>
      <c r="H12" s="22" t="s">
        <v>2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4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39" t="s">
        <v>67</v>
      </c>
      <c r="C16" s="40"/>
      <c r="D16" s="40"/>
      <c r="E16" s="40"/>
      <c r="F16" s="40"/>
      <c r="G16" s="40"/>
      <c r="H16" s="41"/>
      <c r="I16" s="1"/>
    </row>
    <row r="17" spans="1:9" x14ac:dyDescent="0.25">
      <c r="A17" s="1"/>
      <c r="B17" s="96" t="s">
        <v>87</v>
      </c>
      <c r="C17" s="97"/>
      <c r="D17" s="97"/>
      <c r="E17" s="97"/>
      <c r="F17" s="98"/>
      <c r="G17" s="57">
        <v>0.02</v>
      </c>
      <c r="H17" s="22"/>
      <c r="I17" s="1"/>
    </row>
    <row r="18" spans="1:9" x14ac:dyDescent="0.25">
      <c r="A18" s="1"/>
      <c r="B18" s="96" t="s">
        <v>86</v>
      </c>
      <c r="C18" s="97"/>
      <c r="D18" s="97"/>
      <c r="E18" s="97"/>
      <c r="F18" s="98"/>
      <c r="G18" s="57">
        <v>0.02</v>
      </c>
      <c r="H18" s="22"/>
      <c r="I18" s="1"/>
    </row>
    <row r="19" spans="1:9" x14ac:dyDescent="0.25">
      <c r="A19" s="1"/>
      <c r="B19" s="96" t="s">
        <v>88</v>
      </c>
      <c r="C19" s="97"/>
      <c r="D19" s="97"/>
      <c r="E19" s="97"/>
      <c r="F19" s="98"/>
      <c r="G19" s="57">
        <v>1.77E-2</v>
      </c>
      <c r="H19" s="22"/>
      <c r="I19" s="1"/>
    </row>
    <row r="20" spans="1:9" x14ac:dyDescent="0.25">
      <c r="A20" s="1"/>
      <c r="B20" s="96" t="s">
        <v>132</v>
      </c>
      <c r="C20" s="97"/>
      <c r="D20" s="97"/>
      <c r="E20" s="97"/>
      <c r="F20" s="98"/>
      <c r="G20" s="57">
        <v>8.6999999999999994E-3</v>
      </c>
      <c r="H20" s="22"/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4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5">
    <mergeCell ref="B3:H4"/>
    <mergeCell ref="B20:F20"/>
    <mergeCell ref="B19:F19"/>
    <mergeCell ref="B18:F18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125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9" t="s">
        <v>23</v>
      </c>
      <c r="C8" s="40"/>
      <c r="D8" s="40"/>
      <c r="E8" s="40"/>
      <c r="F8" s="40"/>
      <c r="G8" s="40"/>
      <c r="H8" s="41"/>
      <c r="I8" s="1"/>
    </row>
    <row r="9" spans="1:9" x14ac:dyDescent="0.25">
      <c r="A9" s="1"/>
      <c r="B9" s="42" t="s">
        <v>17</v>
      </c>
      <c r="C9" s="43"/>
      <c r="D9" s="43"/>
      <c r="E9" s="43"/>
      <c r="F9" s="44"/>
      <c r="G9" s="11">
        <v>-17622346</v>
      </c>
      <c r="H9" s="22" t="s">
        <v>2</v>
      </c>
      <c r="I9" s="1"/>
    </row>
    <row r="10" spans="1:9" x14ac:dyDescent="0.25">
      <c r="A10" s="1"/>
      <c r="B10" s="42" t="s">
        <v>46</v>
      </c>
      <c r="C10" s="43"/>
      <c r="D10" s="43"/>
      <c r="E10" s="43"/>
      <c r="F10" s="44"/>
      <c r="G10" s="11">
        <v>-14063680</v>
      </c>
      <c r="H10" s="22" t="s">
        <v>2</v>
      </c>
      <c r="I10" s="1"/>
    </row>
    <row r="11" spans="1:9" x14ac:dyDescent="0.25">
      <c r="A11" s="1"/>
      <c r="B11" s="53" t="s">
        <v>20</v>
      </c>
      <c r="C11" s="54"/>
      <c r="D11" s="54"/>
      <c r="E11" s="54"/>
      <c r="F11" s="55"/>
      <c r="G11" s="31">
        <f>G9-G10</f>
        <v>-3558666</v>
      </c>
      <c r="H11" s="26" t="s">
        <v>2</v>
      </c>
      <c r="I11" s="1"/>
    </row>
    <row r="12" spans="1:9" x14ac:dyDescent="0.25">
      <c r="A12" s="1"/>
      <c r="B12" s="42" t="s">
        <v>18</v>
      </c>
      <c r="C12" s="43"/>
      <c r="D12" s="43"/>
      <c r="E12" s="43"/>
      <c r="F12" s="44"/>
      <c r="G12" s="11">
        <v>2</v>
      </c>
      <c r="H12" s="22" t="s">
        <v>38</v>
      </c>
      <c r="I12" s="1"/>
    </row>
    <row r="13" spans="1:9" x14ac:dyDescent="0.25">
      <c r="A13" s="1"/>
      <c r="B13" s="39" t="s">
        <v>16</v>
      </c>
      <c r="C13" s="40"/>
      <c r="D13" s="40"/>
      <c r="E13" s="40"/>
      <c r="F13" s="41"/>
      <c r="G13" s="20">
        <f>IF(G12 = 0,0,G11/G12)</f>
        <v>-1779333</v>
      </c>
      <c r="H13" s="21" t="s">
        <v>2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14</vt:i4>
      </vt:variant>
      <vt:variant>
        <vt:lpstr>Navngivne områder</vt:lpstr>
      </vt:variant>
      <vt:variant>
        <vt:i4>7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Ikke-påvirkelige omk.</vt:lpstr>
      <vt:lpstr>Fane 5. Generelt eff. krav</vt:lpstr>
      <vt:lpstr>Fane 6. Hist. over el. underdæk</vt:lpstr>
      <vt:lpstr>Fane 7. Kontrol af ØR2017</vt:lpstr>
      <vt:lpstr>Fane 8. Anlægsprojekter</vt:lpstr>
      <vt:lpstr>Fane 9. Tillæg</vt:lpstr>
      <vt:lpstr>Fane 10. Bortfald</vt:lpstr>
      <vt:lpstr>Fane 11. Nøgletal</vt:lpstr>
      <vt:lpstr>GenereltKravAnlæg2018</vt:lpstr>
      <vt:lpstr>GenereltKravAnlæg2019</vt:lpstr>
      <vt:lpstr>GenereltKravDrift2018</vt:lpstr>
      <vt:lpstr>GenereltKravDrift2019</vt:lpstr>
      <vt:lpstr>IndividueltKrav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2018-08-27T13:27:35Z</dcterms:modified>
</cp:coreProperties>
</file>