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4620" tabRatio="824"/>
  </bookViews>
  <sheets>
    <sheet name="1. Forside" sheetId="1" r:id="rId1"/>
    <sheet name="Fane 2.1. Økonomisk ramme 2019" sheetId="2" r:id="rId2"/>
    <sheet name="Fane 2.2. Økonomisk ramme 2020" sheetId="15" r:id="rId3"/>
    <sheet name="Fane 2.3. Økonomisk ramme 2021" sheetId="22" r:id="rId4"/>
    <sheet name="Fane 2.4. Økonomisk ramme 2022" sheetId="23" r:id="rId5"/>
    <sheet name="Fane 3. Omkostninger i ØR2018" sheetId="27" r:id="rId6"/>
    <sheet name="Fane 4. Ikke-påvirkelige omk." sheetId="19" r:id="rId7"/>
    <sheet name="Fane 5. Generelt eff. krav" sheetId="30" r:id="rId8"/>
    <sheet name="Fane 6. Hist. over el. underdæk" sheetId="10" r:id="rId9"/>
    <sheet name="Fane 7. Kontrol af ØR2017" sheetId="34" r:id="rId10"/>
    <sheet name="Fane 8. Anlægsprojekter" sheetId="11" r:id="rId11"/>
    <sheet name="Fane 9. Tillæg" sheetId="20" r:id="rId12"/>
    <sheet name="Fane 10. Bortfald" sheetId="21" r:id="rId13"/>
    <sheet name="Fane 11. Nøgletal" sheetId="26" r:id="rId14"/>
  </sheets>
  <definedNames>
    <definedName name="GenereltKravAnlæg2018">'Fane 5. Generelt eff. krav'!$G$19</definedName>
    <definedName name="GenereltKravAnlæg2019">'Fane 5. Generelt eff. krav'!$G$20</definedName>
    <definedName name="GenereltKravDrift2018">'Fane 5. Generelt eff. krav'!$G$17</definedName>
    <definedName name="GenereltKravDrift2019">'Fane 5. Generelt eff. krav'!$G$18</definedName>
    <definedName name="IndividueltKrav">'Fane 11. Nøgletal'!$F$14</definedName>
    <definedName name="Prisudvikling2018">'Fane 11. Nøgletal'!$F$9</definedName>
    <definedName name="Prisudvikling2019">'Fane 11. Nøgletal'!$F$10</definedName>
  </definedNames>
  <calcPr calcId="145621"/>
</workbook>
</file>

<file path=xl/calcChain.xml><?xml version="1.0" encoding="utf-8"?>
<calcChain xmlns="http://schemas.openxmlformats.org/spreadsheetml/2006/main">
  <c r="C10" i="23" l="1"/>
  <c r="C11" i="22"/>
  <c r="C11" i="15"/>
  <c r="E12" i="34" l="1"/>
  <c r="E18" i="34" l="1"/>
  <c r="E20" i="34" s="1"/>
  <c r="G21" i="34" s="1"/>
  <c r="G22" i="34" s="1"/>
  <c r="C26" i="15" s="1"/>
  <c r="E26" i="15" s="1"/>
  <c r="C16" i="23" l="1"/>
  <c r="C17" i="22"/>
  <c r="C17" i="15"/>
  <c r="C21" i="2"/>
  <c r="G12" i="34" l="1"/>
  <c r="C24" i="22" s="1"/>
  <c r="E24" i="22" s="1"/>
  <c r="G10" i="30" l="1"/>
  <c r="G12" i="30"/>
  <c r="E10" i="11" l="1"/>
  <c r="G12" i="11"/>
  <c r="F12" i="11"/>
  <c r="D10" i="20" s="1"/>
  <c r="C31" i="2" l="1"/>
  <c r="C17" i="23" l="1"/>
  <c r="E17" i="23" s="1"/>
  <c r="C18" i="22" l="1"/>
  <c r="E18" i="22" s="1"/>
  <c r="C18" i="15"/>
  <c r="E18" i="15" s="1"/>
  <c r="C22" i="2"/>
  <c r="E22" i="2" s="1"/>
  <c r="G13" i="27"/>
  <c r="D11" i="20" l="1"/>
  <c r="F11" i="21"/>
  <c r="F12" i="21" s="1"/>
  <c r="C13" i="2" s="1"/>
  <c r="D11" i="21"/>
  <c r="D12" i="21" s="1"/>
  <c r="C12" i="2" s="1"/>
  <c r="C9" i="2"/>
  <c r="E14" i="19"/>
  <c r="E15" i="19" s="1"/>
  <c r="C24" i="2" l="1"/>
  <c r="C26" i="2" s="1"/>
  <c r="E26" i="2" s="1"/>
  <c r="C20" i="22"/>
  <c r="C22" i="22" s="1"/>
  <c r="E22" i="22" s="1"/>
  <c r="C19" i="23"/>
  <c r="C20" i="15"/>
  <c r="C22" i="15" l="1"/>
  <c r="E22" i="15" s="1"/>
  <c r="C21" i="23"/>
  <c r="E21" i="23" s="1"/>
  <c r="G11" i="10"/>
  <c r="E31" i="2" l="1"/>
  <c r="G13" i="10"/>
  <c r="C24" i="15" s="1"/>
  <c r="E24" i="15" l="1"/>
  <c r="D12" i="20"/>
  <c r="C10" i="2" s="1"/>
  <c r="C16" i="2" s="1"/>
  <c r="C12" i="15" l="1"/>
  <c r="C12" i="22" s="1"/>
  <c r="C11" i="23" s="1"/>
  <c r="E11" i="11"/>
  <c r="E12" i="11" l="1"/>
  <c r="F10" i="20" s="1"/>
  <c r="F11" i="20" s="1"/>
  <c r="F12" i="20" s="1"/>
  <c r="C11" i="2" s="1"/>
  <c r="C17" i="2" s="1"/>
  <c r="C33" i="2"/>
  <c r="E33" i="2" s="1"/>
  <c r="C13" i="15" l="1"/>
  <c r="C13" i="22" s="1"/>
  <c r="C12" i="23" s="1"/>
  <c r="C14" i="2"/>
  <c r="C15" i="2" s="1"/>
  <c r="C18" i="2" l="1"/>
  <c r="E18" i="2" s="1"/>
  <c r="E34" i="2" s="1"/>
  <c r="C9" i="15" l="1"/>
  <c r="C10" i="15" l="1"/>
  <c r="C14" i="15" l="1"/>
  <c r="E14" i="15" s="1"/>
  <c r="E27" i="15" s="1"/>
  <c r="C9" i="22" l="1"/>
  <c r="C10" i="22" l="1"/>
  <c r="C14" i="22" l="1"/>
  <c r="E14" i="22" s="1"/>
  <c r="E25" i="22" s="1"/>
  <c r="C8" i="23" l="1"/>
  <c r="C9" i="23" l="1"/>
  <c r="C13" i="23" s="1"/>
  <c r="E13" i="23" s="1"/>
  <c r="E22" i="23" s="1"/>
</calcChain>
</file>

<file path=xl/sharedStrings.xml><?xml version="1.0" encoding="utf-8"?>
<sst xmlns="http://schemas.openxmlformats.org/spreadsheetml/2006/main" count="323" uniqueCount="143">
  <si>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</si>
  <si>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</si>
  <si>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</si>
  <si>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</si>
  <si>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</si>
  <si>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</si>
  <si>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</si>
  <si>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</si>
  <si>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</si>
  <si>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</si>
  <si>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</si>
  <si>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</si>
  <si>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</si>
  <si>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</si>
  <si>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</si>
  <si>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</si>
  <si>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</si>
  <si>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</si>
  <si>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</si>
  <si>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</si>
  <si>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</si>
  <si>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</si>
  <si>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</si>
  <si>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</si>
  <si>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</si>
  <si>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</si>
  <si>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Fane 10</t>
  </si>
  <si>
    <t>Prisudvikling</t>
  </si>
  <si>
    <t>Tillæg</t>
  </si>
  <si>
    <t>Fane 11</t>
  </si>
  <si>
    <t>Fane 2.2</t>
  </si>
  <si>
    <t>Samlet økonomisk ramme for 2019</t>
  </si>
  <si>
    <t>Omkostninger i den økonomiske ramme for 2018</t>
  </si>
  <si>
    <t>Økonomisk ramme for 2019</t>
  </si>
  <si>
    <t>Beskrivelse af tillæg</t>
  </si>
  <si>
    <t>Bortfald eller nedsættelse</t>
  </si>
  <si>
    <t>Beskrivelse af bortfald eller nedsættelse</t>
  </si>
  <si>
    <t>Prisudvikling i kr.</t>
  </si>
  <si>
    <t>år</t>
  </si>
  <si>
    <t>Nye påvirkelige tillæg</t>
  </si>
  <si>
    <t>Omkostninger i alt</t>
  </si>
  <si>
    <t>Fane 2.1: Samlet økonomisk ramme for 2019</t>
  </si>
  <si>
    <t>Fane 2.2: Samlet økonomisk ramme for 2020</t>
  </si>
  <si>
    <t>Vejledende</t>
  </si>
  <si>
    <t>Prisudvikling til brug for nye omkostninger i ØR2018</t>
  </si>
  <si>
    <t>Prisudvikling til brug for nye omkostninger i ØR2019</t>
  </si>
  <si>
    <t>Heraf beløb indregnet i prislofterne/de økonomiske rammer for 2011-2018</t>
  </si>
  <si>
    <t>Faktiske omkostninger i 2017</t>
  </si>
  <si>
    <t>- Heraf ikke-påvirkelige omkostninger</t>
  </si>
  <si>
    <t>Videreførte omkostninger fra den økonomiske ramme for 2018</t>
  </si>
  <si>
    <t>Korrektioner</t>
  </si>
  <si>
    <t>Korrektion af tidligere godkendte klima</t>
  </si>
  <si>
    <t>Korrektion af forkert prisfremskrivning af ikke-påvirkelige omkostninger i ØR2018</t>
  </si>
  <si>
    <t>Korrektioner i alt</t>
  </si>
  <si>
    <t>Nøgletal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</si>
  <si>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</si>
  <si>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</si>
  <si>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</si>
  <si>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</si>
  <si>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Videreførte omkostninger fra den økonomiske ramme for 2018 (2018-prisniveau)</t>
  </si>
  <si>
    <t>Faktiske ikke-påvirkelige omkostninger i 2017</t>
  </si>
  <si>
    <t>Generelt effektiviseringskrav - Drift</t>
  </si>
  <si>
    <t>Generelt effektiviseringskrav - Anlæg</t>
  </si>
  <si>
    <t>Nye tillæg - Anlæg</t>
  </si>
  <si>
    <t>Nye tillæg - Drift</t>
  </si>
  <si>
    <t>Bortfald eller nedsættelse af omkostninger - Anlæg</t>
  </si>
  <si>
    <t>Bortfald eller nedsættelse af omkostninger - Drift</t>
  </si>
  <si>
    <t>Generelt effektiviseringskrav - Nøgletal</t>
  </si>
  <si>
    <t>Økonomisk ramme for 2021</t>
  </si>
  <si>
    <t>Nye tillæg i alt (2017-prisniveau)</t>
  </si>
  <si>
    <t>Nye tillæg i alt (2018-prisniveau)</t>
  </si>
  <si>
    <t>Bortfald eller nedsættelse i alt (2017-prisniveau)</t>
  </si>
  <si>
    <t>Bortfald eller nedsættelse i alt (2018-prisniveau)</t>
  </si>
  <si>
    <t>- Heraf periodevise driftsomkostninger</t>
  </si>
  <si>
    <t>Periodevise driftsomkostninger</t>
  </si>
  <si>
    <t>Periodevise driftsomkostninger før effektiviseringskrav i 2018</t>
  </si>
  <si>
    <t>Effektiviseringskrav til periodevise driftsomkostninger</t>
  </si>
  <si>
    <t>Periodevise driftsomkostninger i alt</t>
  </si>
  <si>
    <t>Økonomisk ramme for 2022</t>
  </si>
  <si>
    <t>Tilbagebetaling af vejbidrag</t>
  </si>
  <si>
    <t>Ikke-påvirkelige omkostninger i alt</t>
  </si>
  <si>
    <t>Korrektion af periodevise driftsomkostninger</t>
  </si>
  <si>
    <t>Generelt effektiviseringskrav fastsat til drift i økonomiske ramme for 2018</t>
  </si>
  <si>
    <t>Base for generelt effektiviseringskrav fastsat til drift i økonomiske ramme for 2018</t>
  </si>
  <si>
    <t>Generelt effektiviseringskrav fastsat til anlæg i økonomiske ramme for 2018</t>
  </si>
  <si>
    <t>Base for generelt effektiviseringskrav fastsat til anlæg i økonomiske ramme for 2018</t>
  </si>
  <si>
    <t>Generelt effektiviseringskrav anvendt til nye driftsomkostninger i ØR19</t>
  </si>
  <si>
    <t>Generelt effektiviseringskrav anvendt til drift i ØR18-ØR19</t>
  </si>
  <si>
    <t>Generelt effektiviseringskrav anvendt til anlæg i ØR18-ØR19</t>
  </si>
  <si>
    <t>Beskrivelse af anlægsaktiver</t>
  </si>
  <si>
    <t>Finansielle omkostninger</t>
  </si>
  <si>
    <t>Fane 2.3: Samlet økonomisk ramme for 2021</t>
  </si>
  <si>
    <t>Fane 2.4: Samlet økonomisk ramme for 2022</t>
  </si>
  <si>
    <t>Fane 3: Videreførte omkostninger fra den økonomiske ramme for 2018</t>
  </si>
  <si>
    <t>Fane 2.3</t>
  </si>
  <si>
    <t>Samlet økonomisk ramme for 2020</t>
  </si>
  <si>
    <t>Fane 2.4</t>
  </si>
  <si>
    <t>Samlet økonomisk ramme for 2021</t>
  </si>
  <si>
    <t>Omkostninger i ØR2018</t>
  </si>
  <si>
    <t>Ikke-påvirkelige omk.</t>
  </si>
  <si>
    <t>Hist. over el. underdæk</t>
  </si>
  <si>
    <t>Bortfald</t>
  </si>
  <si>
    <t>Fane 4: Korrektion af ikke-påvirkelige omkostninger</t>
  </si>
  <si>
    <t>Generelt eff. Krav</t>
  </si>
  <si>
    <t>Anlægsprojekter</t>
  </si>
  <si>
    <t>Indtægtsramme i den økonomiske ramme for 2017</t>
  </si>
  <si>
    <t>Faktiske indtægter i 2017</t>
  </si>
  <si>
    <t>Difference</t>
  </si>
  <si>
    <t>Fradrag for kontrol med overholdelse af indtægtsrammen</t>
  </si>
  <si>
    <t>Individuelt effektiviseringskrav fastsat til de økonomiske rammer for 2018</t>
  </si>
  <si>
    <t>Anlægsomkostninger</t>
  </si>
  <si>
    <t>Beskrivelse af ikke-påvirkelige omkostninger</t>
  </si>
  <si>
    <t>- Heraf Faktisk eller planlagt genanbringelse af væsentlige indtægter</t>
  </si>
  <si>
    <t>Antal år i reguleringsperiode</t>
  </si>
  <si>
    <t>Fradrag i den økonomiske ramme for 2020-2021 i alt (2017-prisniveau)</t>
  </si>
  <si>
    <t>Fradrag i den økonomiske ramme for 2020-2021 i alt (2020-prisniveau)</t>
  </si>
  <si>
    <t>Kontrol med overholdelse af den økonomiske ramme for 2017</t>
  </si>
  <si>
    <t>Til indregning i de økonomiske rammer for 2020-2021</t>
  </si>
  <si>
    <t>Indregning af difference hvis negativ</t>
  </si>
  <si>
    <t>Fordeling af difference per år i reguleringsperiode</t>
  </si>
  <si>
    <t>Fane 5: Generelt effektiviseringskrav</t>
  </si>
  <si>
    <t>Fane 9: Tillæg</t>
  </si>
  <si>
    <t>Kontrol af ØR2017</t>
  </si>
  <si>
    <t>Til statusmeddelse for 2019</t>
  </si>
  <si>
    <t>Samlet økonomisk ramme for 2022</t>
  </si>
  <si>
    <t>Fane 6: Historisk over- eller underdækning</t>
  </si>
  <si>
    <t>Fane 7: Kontrol med overholdelse af den økonomiske ramme for 2017</t>
  </si>
  <si>
    <t>Anlægsprojekter igangsat inden 1. marts 2016</t>
  </si>
  <si>
    <t>Ikke-påvirkelige omkostninger i 2017-prisniveau</t>
  </si>
  <si>
    <t>Ikke-påvirkelige omkostninger i 2019-prisniveau</t>
  </si>
  <si>
    <t>Fane 8: Anlægsprojekter igangsat inden 1. marts 2016</t>
  </si>
  <si>
    <t>Anlægsprojekter igangsat inden 1. marts 2016 i alt</t>
  </si>
  <si>
    <t>Generelt effektiviseringskrav anvendt til nye anlægsomkostninger i ØR19</t>
  </si>
  <si>
    <t>Ø 200 mm &lt; Ledningsnet ≤ Ø 500 mm</t>
  </si>
  <si>
    <t>Brønde</t>
  </si>
  <si>
    <t>Spildevandsafgift</t>
  </si>
  <si>
    <t>Afgift til Forsyningsekretariatet</t>
  </si>
  <si>
    <t>Skatter og afgifter</t>
  </si>
  <si>
    <t>Erstatninger</t>
  </si>
  <si>
    <t>Periodevise driftsomkostninger under prisloftsbekendtgørelsen</t>
  </si>
  <si>
    <t>Ingen bortfald eller nedsættelse</t>
  </si>
  <si>
    <t>Fane 10: Bortfald eller nedsættelse af omkostninger til mål, medfinansiering eller udvidelse</t>
  </si>
  <si>
    <t>Fane 11: Nøgletal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</si>
</sst>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0" fontId="8" fillId="9" borderId="4" xfId="0" applyFont="1" applyFill="1" applyBorder="1" applyAlignment="1" applyProtection="1">
      <alignment wrapText="1"/>
    </xf>
    <xf numFmtId="0" fontId="8" fillId="9" borderId="5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9" borderId="6" xfId="0" applyNumberFormat="1" applyFont="1" applyFill="1" applyBorder="1" applyProtection="1"/>
    <xf numFmtId="0" fontId="8" fillId="9" borderId="7" xfId="0" applyFont="1" applyFill="1" applyBorder="1" applyAlignment="1" applyProtection="1">
      <alignment wrapText="1"/>
    </xf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0" fontId="8" fillId="9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3" fontId="10" fillId="4" borderId="1" xfId="0" applyNumberFormat="1" applyFont="1" applyFill="1" applyBorder="1" applyProtection="1"/>
    <xf numFmtId="0" fontId="8" fillId="9" borderId="6" xfId="0" applyFont="1" applyFill="1" applyBorder="1" applyAlignment="1" applyProtection="1">
      <alignment wrapText="1"/>
    </xf>
    <xf numFmtId="0" fontId="8" fillId="9" borderId="0" xfId="0" applyFont="1" applyFill="1" applyBorder="1" applyAlignment="1" applyProtection="1">
      <alignment wrapText="1"/>
    </xf>
    <xf numFmtId="3" fontId="7" fillId="3" borderId="1" xfId="0" applyNumberFormat="1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wrapText="1"/>
    </xf>
    <xf numFmtId="3" fontId="0" fillId="0" borderId="0" xfId="0" applyNumberFormat="1" applyProtection="1"/>
    <xf numFmtId="0" fontId="8" fillId="4" borderId="3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9" borderId="2" xfId="0" applyFont="1" applyFill="1" applyBorder="1" applyAlignment="1" applyProtection="1"/>
    <xf numFmtId="0" fontId="8" fillId="9" borderId="10" xfId="0" applyFont="1" applyFill="1" applyBorder="1" applyAlignment="1" applyProtection="1"/>
    <xf numFmtId="0" fontId="8" fillId="9" borderId="3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10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9" borderId="2" xfId="0" quotePrefix="1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left" wrapText="1"/>
    </xf>
    <xf numFmtId="0" fontId="10" fillId="4" borderId="2" xfId="0" applyFont="1" applyFill="1" applyBorder="1" applyAlignment="1" applyProtection="1"/>
    <xf numFmtId="0" fontId="10" fillId="4" borderId="10" xfId="0" applyFont="1" applyFill="1" applyBorder="1" applyAlignment="1" applyProtection="1"/>
    <xf numFmtId="0" fontId="10" fillId="4" borderId="3" xfId="0" applyFont="1" applyFill="1" applyBorder="1" applyAlignment="1" applyProtection="1"/>
    <xf numFmtId="165" fontId="8" fillId="9" borderId="1" xfId="1" applyNumberFormat="1" applyFont="1" applyFill="1" applyBorder="1" applyProtection="1"/>
    <xf numFmtId="10" fontId="8" fillId="9" borderId="1" xfId="4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49" fontId="8" fillId="9" borderId="3" xfId="0" applyNumberFormat="1" applyFont="1" applyFill="1" applyBorder="1" applyAlignment="1" applyProtection="1"/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10" fontId="8" fillId="9" borderId="3" xfId="4" applyNumberFormat="1" applyFont="1" applyFill="1" applyBorder="1" applyAlignment="1" applyProtection="1"/>
    <xf numFmtId="49" fontId="8" fillId="9" borderId="2" xfId="0" applyNumberFormat="1" applyFont="1" applyFill="1" applyBorder="1" applyAlignment="1" applyProtection="1">
      <alignment horizontal="left" wrapText="1"/>
    </xf>
    <xf numFmtId="1" fontId="8" fillId="9" borderId="1" xfId="0" applyNumberFormat="1" applyFont="1" applyFill="1" applyBorder="1" applyProtection="1"/>
    <xf numFmtId="49" fontId="8" fillId="9" borderId="10" xfId="0" applyNumberFormat="1" applyFont="1" applyFill="1" applyBorder="1" applyAlignment="1" applyProtection="1"/>
    <xf numFmtId="0" fontId="1" fillId="10" borderId="6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3" fillId="7" borderId="6" xfId="2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/>
    <xf numFmtId="0" fontId="8" fillId="9" borderId="10" xfId="0" applyFont="1" applyFill="1" applyBorder="1" applyAlignment="1" applyProtection="1"/>
    <xf numFmtId="0" fontId="8" fillId="9" borderId="3" xfId="0" applyFont="1" applyFill="1" applyBorder="1" applyAlignment="1" applyProtection="1"/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5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14062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0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81" t="s">
        <v>3</v>
      </c>
      <c r="E6" s="81"/>
      <c r="F6" s="81"/>
      <c r="G6" s="81"/>
      <c r="H6" s="3"/>
      <c r="I6" s="1"/>
    </row>
    <row r="7" spans="1:9" ht="15" customHeight="1" x14ac:dyDescent="0.25">
      <c r="A7" s="1"/>
      <c r="B7" s="1"/>
      <c r="C7" s="3"/>
      <c r="D7" s="81"/>
      <c r="E7" s="81"/>
      <c r="F7" s="81"/>
      <c r="G7" s="81"/>
      <c r="H7" s="3"/>
      <c r="I7" s="1"/>
    </row>
    <row r="8" spans="1:9" ht="15.75" x14ac:dyDescent="0.25">
      <c r="A8" s="1"/>
      <c r="B8" s="1"/>
      <c r="C8" s="4"/>
      <c r="D8" s="83" t="s">
        <v>123</v>
      </c>
      <c r="E8" s="83"/>
      <c r="F8" s="83"/>
      <c r="G8" s="83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82" t="s">
        <v>4</v>
      </c>
      <c r="E11" s="82"/>
      <c r="F11" s="82"/>
      <c r="G11" s="82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5</v>
      </c>
      <c r="D13" s="78" t="s">
        <v>31</v>
      </c>
      <c r="E13" s="79"/>
      <c r="F13" s="79"/>
      <c r="G13" s="80"/>
      <c r="H13" s="1"/>
      <c r="I13" s="1"/>
    </row>
    <row r="14" spans="1:9" x14ac:dyDescent="0.25">
      <c r="A14" s="1"/>
      <c r="B14" s="1"/>
      <c r="C14" s="6" t="s">
        <v>30</v>
      </c>
      <c r="D14" s="78" t="s">
        <v>95</v>
      </c>
      <c r="E14" s="79"/>
      <c r="F14" s="79"/>
      <c r="G14" s="80"/>
      <c r="H14" s="1"/>
      <c r="I14" s="1"/>
    </row>
    <row r="15" spans="1:9" x14ac:dyDescent="0.25">
      <c r="A15" s="1"/>
      <c r="B15" s="1"/>
      <c r="C15" s="6" t="s">
        <v>94</v>
      </c>
      <c r="D15" s="78" t="s">
        <v>97</v>
      </c>
      <c r="E15" s="79"/>
      <c r="F15" s="79"/>
      <c r="G15" s="80"/>
      <c r="H15" s="1"/>
      <c r="I15" s="1"/>
    </row>
    <row r="16" spans="1:9" x14ac:dyDescent="0.25">
      <c r="A16" s="1"/>
      <c r="B16" s="1"/>
      <c r="C16" s="6" t="s">
        <v>96</v>
      </c>
      <c r="D16" s="78" t="s">
        <v>124</v>
      </c>
      <c r="E16" s="79"/>
      <c r="F16" s="79"/>
      <c r="G16" s="80"/>
      <c r="H16" s="1"/>
      <c r="I16" s="1"/>
    </row>
    <row r="17" spans="1:9" x14ac:dyDescent="0.25">
      <c r="A17" s="1"/>
      <c r="B17" s="1"/>
      <c r="C17" s="6" t="s">
        <v>6</v>
      </c>
      <c r="D17" s="84" t="s">
        <v>98</v>
      </c>
      <c r="E17" s="85"/>
      <c r="F17" s="85"/>
      <c r="G17" s="86"/>
      <c r="H17" s="1"/>
      <c r="I17" s="1"/>
    </row>
    <row r="18" spans="1:9" x14ac:dyDescent="0.25">
      <c r="A18" s="1"/>
      <c r="B18" s="1"/>
      <c r="C18" s="6" t="s">
        <v>7</v>
      </c>
      <c r="D18" s="84" t="s">
        <v>99</v>
      </c>
      <c r="E18" s="85"/>
      <c r="F18" s="85"/>
      <c r="G18" s="86"/>
      <c r="H18" s="1"/>
      <c r="I18" s="1"/>
    </row>
    <row r="19" spans="1:9" x14ac:dyDescent="0.25">
      <c r="A19" s="1"/>
      <c r="B19" s="1"/>
      <c r="C19" s="6" t="s">
        <v>8</v>
      </c>
      <c r="D19" s="69" t="s">
        <v>103</v>
      </c>
      <c r="E19" s="70"/>
      <c r="F19" s="70"/>
      <c r="G19" s="71"/>
      <c r="H19" s="1"/>
      <c r="I19" s="1"/>
    </row>
    <row r="20" spans="1:9" x14ac:dyDescent="0.25">
      <c r="A20" s="1"/>
      <c r="B20" s="1"/>
      <c r="C20" s="6" t="s">
        <v>9</v>
      </c>
      <c r="D20" s="72" t="s">
        <v>100</v>
      </c>
      <c r="E20" s="73"/>
      <c r="F20" s="73"/>
      <c r="G20" s="74"/>
      <c r="H20" s="1"/>
      <c r="I20" s="1"/>
    </row>
    <row r="21" spans="1:9" x14ac:dyDescent="0.25">
      <c r="A21" s="1"/>
      <c r="B21" s="1"/>
      <c r="C21" s="6" t="s">
        <v>10</v>
      </c>
      <c r="D21" s="72" t="s">
        <v>122</v>
      </c>
      <c r="E21" s="73"/>
      <c r="F21" s="73"/>
      <c r="G21" s="74"/>
      <c r="H21" s="1"/>
      <c r="I21" s="1"/>
    </row>
    <row r="22" spans="1:9" x14ac:dyDescent="0.25">
      <c r="A22" s="1"/>
      <c r="B22" s="1"/>
      <c r="C22" s="6" t="s">
        <v>11</v>
      </c>
      <c r="D22" s="72" t="s">
        <v>104</v>
      </c>
      <c r="E22" s="73"/>
      <c r="F22" s="73"/>
      <c r="G22" s="74"/>
      <c r="H22" s="1"/>
      <c r="I22" s="1"/>
    </row>
    <row r="23" spans="1:9" x14ac:dyDescent="0.25">
      <c r="A23" s="1"/>
      <c r="B23" s="1"/>
      <c r="C23" s="6" t="s">
        <v>12</v>
      </c>
      <c r="D23" s="75" t="s">
        <v>28</v>
      </c>
      <c r="E23" s="76"/>
      <c r="F23" s="76"/>
      <c r="G23" s="77"/>
      <c r="H23" s="1"/>
      <c r="I23" s="1"/>
    </row>
    <row r="24" spans="1:9" x14ac:dyDescent="0.25">
      <c r="A24" s="1"/>
      <c r="B24" s="1"/>
      <c r="C24" s="6" t="s">
        <v>26</v>
      </c>
      <c r="D24" s="66" t="s">
        <v>101</v>
      </c>
      <c r="E24" s="67"/>
      <c r="F24" s="67"/>
      <c r="G24" s="68"/>
      <c r="H24" s="1"/>
      <c r="I24" s="1"/>
    </row>
    <row r="25" spans="1:9" x14ac:dyDescent="0.25">
      <c r="A25" s="1"/>
      <c r="B25" s="1"/>
      <c r="C25" s="6" t="s">
        <v>29</v>
      </c>
      <c r="D25" s="66" t="s">
        <v>54</v>
      </c>
      <c r="E25" s="67"/>
      <c r="F25" s="67"/>
      <c r="G25" s="68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</sheetData>
  <sheetProtection password="DFE9" sheet="1" objects="1" scenarios="1"/>
  <mergeCells count="16">
    <mergeCell ref="D14:G14"/>
    <mergeCell ref="D6:G7"/>
    <mergeCell ref="D20:G20"/>
    <mergeCell ref="D11:G11"/>
    <mergeCell ref="D8:G8"/>
    <mergeCell ref="D15:G15"/>
    <mergeCell ref="D16:G16"/>
    <mergeCell ref="D17:G17"/>
    <mergeCell ref="D18:G18"/>
    <mergeCell ref="D13:G13"/>
    <mergeCell ref="D24:G24"/>
    <mergeCell ref="D25:G25"/>
    <mergeCell ref="D19:G19"/>
    <mergeCell ref="D21:G21"/>
    <mergeCell ref="D22:G22"/>
    <mergeCell ref="D23:G23"/>
  </mergeCells>
  <hyperlinks>
    <hyperlink ref="D14:G14" location="'Fane 2.2. Økonomisk ramme 2020'!A1" display="Samlet økonomisk ramme for 2020"/>
    <hyperlink ref="D17:G17" location="'Fane 3. Omkostninger i ØR2018'!A1" display="Omkostninger i ØR2018"/>
    <hyperlink ref="D18:G18" location="'Fane 4. Ikke-påvirkelige omk.'!A1" display="Ikke-påvirkelige omk."/>
    <hyperlink ref="D20:G20" location="'Fane 6. Hist. over el. underdæk'!A1" display="Hist. over el. underdæk"/>
    <hyperlink ref="D23:G23" location="'Fane 9. Tillæg'!A1" display="Tillæg"/>
    <hyperlink ref="D24:G24" location="'Fane 10. Bortfald'!A1" display="Bortfald"/>
    <hyperlink ref="D13:G13" location="'Fane 2.1. Økonomisk ramme 2019'!A1" display="Samlet økonomisk ramme for 2019"/>
    <hyperlink ref="D16:G16" location="'Fane 2.4. Økonomisk ramme 2022'!A1" display="Samlet økonomisk ramme for 2022"/>
    <hyperlink ref="D15:G15" location="'Fane 2.3. Økonomisk ramme 2021'!A1" display="Samlet økonomisk ramme for 2021"/>
    <hyperlink ref="D19:G19" location="'Fane 5. Generelt eff. krav'!A1" display="Generelt eff. Krav"/>
    <hyperlink ref="D21:G21" location="'Fane 7. Kontrol af ØR2017'!A1" display="Kontrol af ØR2017"/>
    <hyperlink ref="D22:G22" location="'Fane 8. Anlægsprojekter'!A1" display="Anlægsprojekter"/>
    <hyperlink ref="D25:G25" location="'Fane 11. Nøgletal'!A1" display="Nøgletal"/>
  </hyperlinks>
  <pageMargins left="0.8333333333333333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2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140625" style="2" customWidth="1"/>
    <col min="4" max="4" width="3.85546875" style="2" customWidth="1"/>
    <col min="5" max="5" width="10.7109375" style="2" customWidth="1"/>
    <col min="6" max="6" width="3.28515625" style="2" customWidth="1"/>
    <col min="7" max="7" width="2.7109375" style="2" customWidth="1"/>
    <col min="8" max="8" width="9.140625" style="2"/>
    <col min="9" max="9" width="10.140625" style="2" bestFit="1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</row>
    <row r="2" spans="1:9" x14ac:dyDescent="0.25">
      <c r="A2" s="1"/>
      <c r="B2" s="1"/>
      <c r="C2" s="1"/>
      <c r="D2" s="1"/>
      <c r="E2" s="1"/>
      <c r="F2" s="1"/>
      <c r="G2" s="1"/>
    </row>
    <row r="3" spans="1:9" ht="15" customHeight="1" x14ac:dyDescent="0.25">
      <c r="A3" s="1"/>
      <c r="B3" s="87" t="s">
        <v>41</v>
      </c>
      <c r="C3" s="87"/>
      <c r="D3" s="87"/>
      <c r="E3" s="87"/>
      <c r="F3" s="87"/>
      <c r="G3" s="1"/>
      <c r="I3" s="36"/>
    </row>
    <row r="4" spans="1:9" ht="15" customHeight="1" x14ac:dyDescent="0.25">
      <c r="A4" s="1"/>
      <c r="B4" s="87"/>
      <c r="C4" s="87"/>
      <c r="D4" s="87"/>
      <c r="E4" s="87"/>
      <c r="F4" s="87"/>
      <c r="G4" s="1"/>
    </row>
    <row r="5" spans="1:9" x14ac:dyDescent="0.25">
      <c r="A5" s="1"/>
      <c r="B5" s="1"/>
      <c r="C5" s="1"/>
      <c r="D5" s="1"/>
      <c r="E5" s="1"/>
      <c r="F5" s="1"/>
      <c r="G5" s="1"/>
    </row>
    <row r="6" spans="1:9" x14ac:dyDescent="0.25">
      <c r="A6" s="1"/>
      <c r="B6" s="1"/>
      <c r="C6" s="1"/>
      <c r="D6" s="1"/>
      <c r="E6" s="1"/>
      <c r="F6" s="1"/>
      <c r="G6" s="1"/>
    </row>
    <row r="7" spans="1:9" x14ac:dyDescent="0.25">
      <c r="A7" s="1"/>
      <c r="B7" s="1"/>
      <c r="C7" s="1"/>
      <c r="D7" s="1"/>
      <c r="E7" s="1"/>
      <c r="F7" s="1"/>
      <c r="G7" s="1"/>
    </row>
    <row r="8" spans="1:9" x14ac:dyDescent="0.25">
      <c r="A8" s="1"/>
      <c r="B8" s="39" t="s">
        <v>25</v>
      </c>
      <c r="C8" s="40"/>
      <c r="D8" s="40"/>
      <c r="E8" s="40"/>
      <c r="F8" s="41"/>
      <c r="G8" s="1"/>
    </row>
    <row r="9" spans="1:9" ht="29.25" customHeight="1" x14ac:dyDescent="0.25">
      <c r="A9" s="1"/>
      <c r="B9" s="45" t="s">
        <v>49</v>
      </c>
      <c r="C9" s="7">
        <f>'Fane 3. Omkostninger i ØR2018'!G13</f>
        <v>53778610.805080697</v>
      </c>
      <c r="D9" s="8" t="s">
        <v>2</v>
      </c>
      <c r="E9" s="9"/>
      <c r="F9" s="10"/>
      <c r="G9" s="1"/>
    </row>
    <row r="10" spans="1:9" ht="15" customHeight="1" x14ac:dyDescent="0.25">
      <c r="A10" s="1"/>
      <c r="B10" s="46" t="s">
        <v>64</v>
      </c>
      <c r="C10" s="7">
        <f>'Fane 9. Tillæg'!D12</f>
        <v>0</v>
      </c>
      <c r="D10" s="8" t="s">
        <v>2</v>
      </c>
      <c r="E10" s="32"/>
      <c r="F10" s="13"/>
      <c r="G10" s="1"/>
    </row>
    <row r="11" spans="1:9" ht="15" customHeight="1" x14ac:dyDescent="0.25">
      <c r="A11" s="1"/>
      <c r="B11" s="46" t="s">
        <v>63</v>
      </c>
      <c r="C11" s="11">
        <f>'Fane 9. Tillæg'!F12</f>
        <v>3583.3251026666662</v>
      </c>
      <c r="D11" s="8" t="s">
        <v>2</v>
      </c>
      <c r="E11" s="12"/>
      <c r="F11" s="13"/>
      <c r="G11" s="1"/>
    </row>
    <row r="12" spans="1:9" ht="15" customHeight="1" x14ac:dyDescent="0.25">
      <c r="A12" s="1"/>
      <c r="B12" s="46" t="s">
        <v>66</v>
      </c>
      <c r="C12" s="11">
        <f>-'Fane 10. Bortfald'!D12</f>
        <v>0</v>
      </c>
      <c r="D12" s="8" t="s">
        <v>2</v>
      </c>
      <c r="E12" s="12"/>
      <c r="F12" s="13"/>
      <c r="G12" s="1"/>
    </row>
    <row r="13" spans="1:9" ht="15" customHeight="1" x14ac:dyDescent="0.25">
      <c r="A13" s="1"/>
      <c r="B13" s="46" t="s">
        <v>65</v>
      </c>
      <c r="C13" s="11">
        <f>-'Fane 10. Bortfald'!F12</f>
        <v>0</v>
      </c>
      <c r="D13" s="8" t="s">
        <v>2</v>
      </c>
      <c r="E13" s="12"/>
      <c r="F13" s="13"/>
      <c r="G13" s="1"/>
    </row>
    <row r="14" spans="1:9" ht="15" customHeight="1" x14ac:dyDescent="0.25">
      <c r="A14" s="1"/>
      <c r="B14" s="46" t="s">
        <v>37</v>
      </c>
      <c r="C14" s="11">
        <f>C9*Prisudvikling2018+SUM(C10:C13)*Prisudvikling2019</f>
        <v>941186.24728314742</v>
      </c>
      <c r="D14" s="8" t="s">
        <v>2</v>
      </c>
      <c r="E14" s="12"/>
      <c r="F14" s="13"/>
      <c r="G14" s="1"/>
    </row>
    <row r="15" spans="1:9" ht="15" customHeight="1" x14ac:dyDescent="0.25">
      <c r="A15" s="1"/>
      <c r="B15" s="46" t="s">
        <v>13</v>
      </c>
      <c r="C15" s="11">
        <f>-SUM(C9:C14)*IndividueltKrav</f>
        <v>-576934.27954573673</v>
      </c>
      <c r="D15" s="8" t="s">
        <v>2</v>
      </c>
      <c r="E15" s="12"/>
      <c r="F15" s="13"/>
      <c r="G15" s="1"/>
    </row>
    <row r="16" spans="1:9" ht="15" customHeight="1" x14ac:dyDescent="0.25">
      <c r="A16" s="1"/>
      <c r="B16" s="46" t="s">
        <v>61</v>
      </c>
      <c r="C16" s="11">
        <f>-(('Fane 5. Generelt eff. krav'!G10-'Fane 5. Generelt eff. krav'!G9-'Fane 3. Omkostninger i ØR2018'!G12)*(1+Prisudvikling2018)*GenereltKravDrift2018+SUM(C10,C12)*(1+Prisudvikling2019)*GenereltKravDrift2019)</f>
        <v>-344408.39857829502</v>
      </c>
      <c r="D16" s="8" t="s">
        <v>2</v>
      </c>
      <c r="E16" s="12"/>
      <c r="F16" s="13"/>
      <c r="G16" s="1"/>
    </row>
    <row r="17" spans="1:7" ht="15" customHeight="1" x14ac:dyDescent="0.25">
      <c r="A17" s="1"/>
      <c r="B17" s="46" t="s">
        <v>62</v>
      </c>
      <c r="C17" s="11">
        <f>-(('Fane 5. Generelt eff. krav'!G12-'Fane 5. Generelt eff. krav'!G11)*(1+Prisudvikling2018)*GenereltKravAnlæg2018+SUM(C11,C13)*(1+Prisudvikling2019)*GenereltKravAnlæg2019)</f>
        <v>-677316.30720051308</v>
      </c>
      <c r="D17" s="8" t="s">
        <v>2</v>
      </c>
      <c r="E17" s="15"/>
      <c r="F17" s="16"/>
      <c r="G17" s="1"/>
    </row>
    <row r="18" spans="1:7" ht="15" customHeight="1" x14ac:dyDescent="0.25">
      <c r="A18" s="1"/>
      <c r="B18" s="47" t="s">
        <v>40</v>
      </c>
      <c r="C18" s="17">
        <f>SUM(C9:C17)</f>
        <v>53124721.392141961</v>
      </c>
      <c r="D18" s="18" t="s">
        <v>2</v>
      </c>
      <c r="E18" s="17">
        <f>C18</f>
        <v>53124721.392141961</v>
      </c>
      <c r="F18" s="18" t="s">
        <v>2</v>
      </c>
      <c r="G18" s="1"/>
    </row>
    <row r="19" spans="1:7" ht="15" customHeight="1" x14ac:dyDescent="0.25">
      <c r="A19" s="1"/>
      <c r="B19" s="39" t="s">
        <v>74</v>
      </c>
      <c r="C19" s="40"/>
      <c r="D19" s="40"/>
      <c r="E19" s="40"/>
      <c r="F19" s="41"/>
      <c r="G19" s="1"/>
    </row>
    <row r="20" spans="1:7" ht="15" customHeight="1" x14ac:dyDescent="0.25">
      <c r="A20" s="1"/>
      <c r="B20" s="46" t="s">
        <v>139</v>
      </c>
      <c r="C20" s="11">
        <v>0</v>
      </c>
      <c r="D20" s="8" t="s">
        <v>2</v>
      </c>
      <c r="E20" s="12"/>
      <c r="F20" s="13"/>
      <c r="G20" s="1"/>
    </row>
    <row r="21" spans="1:7" ht="15" customHeight="1" x14ac:dyDescent="0.25">
      <c r="A21" s="1"/>
      <c r="B21" s="46" t="s">
        <v>76</v>
      </c>
      <c r="C21" s="11">
        <f>-(C20*(GenereltKravDrift2018+IndividueltKrav))</f>
        <v>0</v>
      </c>
      <c r="D21" s="8" t="s">
        <v>2</v>
      </c>
      <c r="E21" s="12"/>
      <c r="F21" s="13"/>
      <c r="G21" s="1"/>
    </row>
    <row r="22" spans="1:7" ht="15" customHeight="1" x14ac:dyDescent="0.25">
      <c r="A22" s="1"/>
      <c r="B22" s="29" t="s">
        <v>77</v>
      </c>
      <c r="C22" s="17">
        <f>SUM(C20:C21)</f>
        <v>0</v>
      </c>
      <c r="D22" s="18" t="s">
        <v>2</v>
      </c>
      <c r="E22" s="17">
        <f>C22</f>
        <v>0</v>
      </c>
      <c r="F22" s="18" t="s">
        <v>2</v>
      </c>
      <c r="G22" s="1"/>
    </row>
    <row r="23" spans="1:7" ht="15" customHeight="1" x14ac:dyDescent="0.25">
      <c r="A23" s="1"/>
      <c r="B23" s="39" t="s">
        <v>22</v>
      </c>
      <c r="C23" s="40"/>
      <c r="D23" s="40"/>
      <c r="E23" s="40"/>
      <c r="F23" s="41"/>
      <c r="G23" s="1"/>
    </row>
    <row r="24" spans="1:7" ht="15" customHeight="1" x14ac:dyDescent="0.25">
      <c r="A24" s="1"/>
      <c r="B24" s="46" t="s">
        <v>22</v>
      </c>
      <c r="C24" s="11">
        <f>'Fane 4. Ikke-påvirkelige omk.'!E15</f>
        <v>780067.65033154981</v>
      </c>
      <c r="D24" s="8" t="s">
        <v>2</v>
      </c>
      <c r="E24" s="12"/>
      <c r="F24" s="13"/>
      <c r="G24" s="1"/>
    </row>
    <row r="25" spans="1:7" ht="15" customHeight="1" x14ac:dyDescent="0.25">
      <c r="A25" s="1"/>
      <c r="B25" s="46" t="s">
        <v>79</v>
      </c>
      <c r="C25" s="11">
        <v>0</v>
      </c>
      <c r="D25" s="8" t="s">
        <v>2</v>
      </c>
      <c r="E25" s="12"/>
      <c r="F25" s="13"/>
      <c r="G25" s="1"/>
    </row>
    <row r="26" spans="1:7" ht="15" customHeight="1" x14ac:dyDescent="0.25">
      <c r="A26" s="1"/>
      <c r="B26" s="29" t="s">
        <v>80</v>
      </c>
      <c r="C26" s="17">
        <f>SUM(C24:C25)</f>
        <v>780067.65033154981</v>
      </c>
      <c r="D26" s="18" t="s">
        <v>2</v>
      </c>
      <c r="E26" s="17">
        <f>C26</f>
        <v>780067.65033154981</v>
      </c>
      <c r="F26" s="18" t="s">
        <v>2</v>
      </c>
      <c r="G26" s="1"/>
    </row>
    <row r="27" spans="1:7" ht="15" customHeight="1" x14ac:dyDescent="0.25">
      <c r="A27" s="1"/>
      <c r="B27" s="39" t="s">
        <v>50</v>
      </c>
      <c r="C27" s="40"/>
      <c r="D27" s="40"/>
      <c r="E27" s="40"/>
      <c r="F27" s="41"/>
      <c r="G27" s="1"/>
    </row>
    <row r="28" spans="1:7" ht="15" customHeight="1" x14ac:dyDescent="0.25">
      <c r="A28" s="1"/>
      <c r="B28" s="45" t="s">
        <v>81</v>
      </c>
      <c r="C28" s="7">
        <v>0</v>
      </c>
      <c r="D28" s="8" t="s">
        <v>2</v>
      </c>
      <c r="E28" s="33"/>
      <c r="F28" s="13"/>
      <c r="G28" s="1"/>
    </row>
    <row r="29" spans="1:7" ht="15" customHeight="1" x14ac:dyDescent="0.25">
      <c r="A29" s="1"/>
      <c r="B29" s="45" t="s">
        <v>51</v>
      </c>
      <c r="C29" s="7">
        <v>0</v>
      </c>
      <c r="D29" s="8" t="s">
        <v>2</v>
      </c>
      <c r="E29" s="32"/>
      <c r="F29" s="13"/>
      <c r="G29" s="1"/>
    </row>
    <row r="30" spans="1:7" ht="28.5" customHeight="1" x14ac:dyDescent="0.25">
      <c r="A30" s="1"/>
      <c r="B30" s="46" t="s">
        <v>52</v>
      </c>
      <c r="C30" s="7">
        <v>3908.6462367459962</v>
      </c>
      <c r="D30" s="8" t="s">
        <v>2</v>
      </c>
      <c r="E30" s="32"/>
      <c r="F30" s="13"/>
      <c r="G30" s="1"/>
    </row>
    <row r="31" spans="1:7" ht="15" customHeight="1" x14ac:dyDescent="0.25">
      <c r="A31" s="1"/>
      <c r="B31" s="47" t="s">
        <v>53</v>
      </c>
      <c r="C31" s="17">
        <f>SUM(C28:C30)</f>
        <v>3908.6462367459962</v>
      </c>
      <c r="D31" s="18" t="s">
        <v>2</v>
      </c>
      <c r="E31" s="17">
        <f>C31</f>
        <v>3908.6462367459962</v>
      </c>
      <c r="F31" s="18" t="s">
        <v>2</v>
      </c>
      <c r="G31" s="1"/>
    </row>
    <row r="32" spans="1:7" x14ac:dyDescent="0.25">
      <c r="A32" s="1"/>
      <c r="B32" s="39" t="s">
        <v>15</v>
      </c>
      <c r="C32" s="40"/>
      <c r="D32" s="40"/>
      <c r="E32" s="40"/>
      <c r="F32" s="41"/>
      <c r="G32" s="1"/>
    </row>
    <row r="33" spans="1:7" ht="15" customHeight="1" x14ac:dyDescent="0.25">
      <c r="A33" s="1"/>
      <c r="B33" s="47" t="s">
        <v>24</v>
      </c>
      <c r="C33" s="17">
        <f>'Fane 6. Hist. over el. underdæk'!G13</f>
        <v>-1330147.5</v>
      </c>
      <c r="D33" s="18" t="s">
        <v>2</v>
      </c>
      <c r="E33" s="17">
        <f>C33</f>
        <v>-1330147.5</v>
      </c>
      <c r="F33" s="18" t="s">
        <v>2</v>
      </c>
      <c r="G33" s="1"/>
    </row>
    <row r="34" spans="1:7" x14ac:dyDescent="0.25">
      <c r="A34" s="1"/>
      <c r="B34" s="39" t="s">
        <v>33</v>
      </c>
      <c r="C34" s="40"/>
      <c r="D34" s="41"/>
      <c r="E34" s="20">
        <f>SUM(E18,E22,E26,E31,E33)</f>
        <v>52578550.188710257</v>
      </c>
      <c r="F34" s="21" t="s">
        <v>2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0.710937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42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88" t="s">
        <v>43</v>
      </c>
      <c r="C5" s="88"/>
      <c r="D5" s="88"/>
      <c r="E5" s="88"/>
      <c r="F5" s="88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9" t="s">
        <v>25</v>
      </c>
      <c r="C8" s="90"/>
      <c r="D8" s="90"/>
      <c r="E8" s="90"/>
      <c r="F8" s="91"/>
      <c r="G8" s="1"/>
    </row>
    <row r="9" spans="1:7" ht="15" customHeight="1" x14ac:dyDescent="0.25">
      <c r="A9" s="1"/>
      <c r="B9" s="45" t="s">
        <v>55</v>
      </c>
      <c r="C9" s="7">
        <f>'Fane 2.1. Økonomisk ramme 2019'!E18</f>
        <v>53124721.392141961</v>
      </c>
      <c r="D9" s="8" t="s">
        <v>2</v>
      </c>
      <c r="E9" s="9"/>
      <c r="F9" s="10"/>
      <c r="G9" s="1"/>
    </row>
    <row r="10" spans="1:7" ht="15" customHeight="1" x14ac:dyDescent="0.25">
      <c r="A10" s="1"/>
      <c r="B10" s="46" t="s">
        <v>37</v>
      </c>
      <c r="C10" s="11">
        <f>SUM(C9:C9)*Prisudvikling2019</f>
        <v>897807.79152719909</v>
      </c>
      <c r="D10" s="8" t="s">
        <v>2</v>
      </c>
      <c r="E10" s="12"/>
      <c r="F10" s="13"/>
      <c r="G10" s="1"/>
    </row>
    <row r="11" spans="1:7" ht="15" customHeight="1" x14ac:dyDescent="0.25">
      <c r="A11" s="1"/>
      <c r="B11" s="46" t="s">
        <v>13</v>
      </c>
      <c r="C11" s="11">
        <f>-SUM(C9:C10)*IndividueltKrav</f>
        <v>-569545.38880519429</v>
      </c>
      <c r="D11" s="8" t="s">
        <v>2</v>
      </c>
      <c r="E11" s="12"/>
      <c r="F11" s="13"/>
      <c r="G11" s="1"/>
    </row>
    <row r="12" spans="1:7" ht="15" customHeight="1" x14ac:dyDescent="0.25">
      <c r="A12" s="1"/>
      <c r="B12" s="46" t="s">
        <v>61</v>
      </c>
      <c r="C12" s="11">
        <f>('Fane 2.1. Økonomisk ramme 2019'!C16/GenereltKravDrift2018-'Fane 2.1. Økonomisk ramme 2019'!C16)*(1+Prisudvikling2019)*GenereltKravDrift2019</f>
        <v>-343224.32250398287</v>
      </c>
      <c r="D12" s="8" t="s">
        <v>2</v>
      </c>
      <c r="E12" s="14"/>
      <c r="F12" s="13"/>
      <c r="G12" s="1"/>
    </row>
    <row r="13" spans="1:7" ht="15" customHeight="1" x14ac:dyDescent="0.25">
      <c r="A13" s="1"/>
      <c r="B13" s="46" t="s">
        <v>62</v>
      </c>
      <c r="C13" s="11">
        <f>(('Fane 2.1. Økonomisk ramme 2019'!C17/GenereltKravAnlæg2018-'Fane 2.1. Økonomisk ramme 2019'!C17)*(1+Prisudvikling2019)*GenereltKravAnlæg2019)</f>
        <v>-332552.26453060354</v>
      </c>
      <c r="D13" s="8" t="s">
        <v>2</v>
      </c>
      <c r="E13" s="15"/>
      <c r="F13" s="16"/>
      <c r="G13" s="1"/>
    </row>
    <row r="14" spans="1:7" ht="15" customHeight="1" x14ac:dyDescent="0.25">
      <c r="A14" s="1"/>
      <c r="B14" s="47" t="s">
        <v>40</v>
      </c>
      <c r="C14" s="17">
        <f>SUM(C9:C13)</f>
        <v>52777207.207829371</v>
      </c>
      <c r="D14" s="18" t="s">
        <v>2</v>
      </c>
      <c r="E14" s="17">
        <f>C14</f>
        <v>52777207.207829371</v>
      </c>
      <c r="F14" s="18" t="s">
        <v>2</v>
      </c>
      <c r="G14" s="1"/>
    </row>
    <row r="15" spans="1:7" ht="15" customHeight="1" x14ac:dyDescent="0.25">
      <c r="A15" s="1"/>
      <c r="B15" s="89" t="s">
        <v>74</v>
      </c>
      <c r="C15" s="90"/>
      <c r="D15" s="90"/>
      <c r="E15" s="90"/>
      <c r="F15" s="91"/>
      <c r="G15" s="1"/>
    </row>
    <row r="16" spans="1:7" ht="15" customHeight="1" x14ac:dyDescent="0.25">
      <c r="A16" s="1"/>
      <c r="B16" s="46" t="s">
        <v>139</v>
      </c>
      <c r="C16" s="11">
        <v>0</v>
      </c>
      <c r="D16" s="8" t="s">
        <v>2</v>
      </c>
      <c r="E16" s="12"/>
      <c r="F16" s="13"/>
      <c r="G16" s="1"/>
    </row>
    <row r="17" spans="1:7" ht="15" customHeight="1" x14ac:dyDescent="0.25">
      <c r="A17" s="1"/>
      <c r="B17" s="46" t="s">
        <v>76</v>
      </c>
      <c r="C17" s="11">
        <f>-(C16*(GenereltKravDrift2019+IndividueltKrav))</f>
        <v>0</v>
      </c>
      <c r="D17" s="8" t="s">
        <v>2</v>
      </c>
      <c r="E17" s="12"/>
      <c r="F17" s="13"/>
      <c r="G17" s="1"/>
    </row>
    <row r="18" spans="1:7" ht="15" customHeight="1" x14ac:dyDescent="0.25">
      <c r="A18" s="1"/>
      <c r="B18" s="29" t="s">
        <v>77</v>
      </c>
      <c r="C18" s="17">
        <f>SUM(C16:C17)</f>
        <v>0</v>
      </c>
      <c r="D18" s="18" t="s">
        <v>2</v>
      </c>
      <c r="E18" s="17">
        <f>C18</f>
        <v>0</v>
      </c>
      <c r="F18" s="18" t="s">
        <v>2</v>
      </c>
      <c r="G18" s="1"/>
    </row>
    <row r="19" spans="1:7" x14ac:dyDescent="0.25">
      <c r="A19" s="1"/>
      <c r="B19" s="89" t="s">
        <v>22</v>
      </c>
      <c r="C19" s="90"/>
      <c r="D19" s="90"/>
      <c r="E19" s="90"/>
      <c r="F19" s="91"/>
      <c r="G19" s="1"/>
    </row>
    <row r="20" spans="1:7" ht="15" customHeight="1" x14ac:dyDescent="0.25">
      <c r="A20" s="1"/>
      <c r="B20" s="46" t="s">
        <v>22</v>
      </c>
      <c r="C20" s="11">
        <f>'Fane 4. Ikke-påvirkelige omk.'!E15*(1+Prisudvikling2019)</f>
        <v>793250.79362215288</v>
      </c>
      <c r="D20" s="8" t="s">
        <v>2</v>
      </c>
      <c r="E20" s="12"/>
      <c r="F20" s="13"/>
      <c r="G20" s="1"/>
    </row>
    <row r="21" spans="1:7" ht="15" customHeight="1" x14ac:dyDescent="0.25">
      <c r="A21" s="1"/>
      <c r="B21" s="46" t="s">
        <v>79</v>
      </c>
      <c r="C21" s="11">
        <v>0</v>
      </c>
      <c r="D21" s="8" t="s">
        <v>2</v>
      </c>
      <c r="E21" s="14"/>
      <c r="F21" s="13"/>
      <c r="G21" s="1"/>
    </row>
    <row r="22" spans="1:7" ht="15" customHeight="1" x14ac:dyDescent="0.25">
      <c r="A22" s="1"/>
      <c r="B22" s="29" t="s">
        <v>80</v>
      </c>
      <c r="C22" s="17">
        <f>SUM(C20:C21)</f>
        <v>793250.79362215288</v>
      </c>
      <c r="D22" s="18" t="s">
        <v>2</v>
      </c>
      <c r="E22" s="17">
        <f>C22</f>
        <v>793250.79362215288</v>
      </c>
      <c r="F22" s="18" t="s">
        <v>2</v>
      </c>
      <c r="G22" s="1"/>
    </row>
    <row r="23" spans="1:7" x14ac:dyDescent="0.25">
      <c r="A23" s="1"/>
      <c r="B23" s="89" t="s">
        <v>15</v>
      </c>
      <c r="C23" s="90"/>
      <c r="D23" s="90"/>
      <c r="E23" s="90"/>
      <c r="F23" s="91"/>
      <c r="G23" s="1"/>
    </row>
    <row r="24" spans="1:7" ht="15" customHeight="1" x14ac:dyDescent="0.25">
      <c r="A24" s="1"/>
      <c r="B24" s="29" t="s">
        <v>24</v>
      </c>
      <c r="C24" s="17">
        <f>IF('Fane 6. Hist. over el. underdæk'!G12&gt;1,'Fane 6. Hist. over el. underdæk'!G13,0)</f>
        <v>-1330147.5</v>
      </c>
      <c r="D24" s="18" t="s">
        <v>2</v>
      </c>
      <c r="E24" s="17">
        <f>C24</f>
        <v>-1330147.5</v>
      </c>
      <c r="F24" s="18" t="s">
        <v>2</v>
      </c>
      <c r="G24" s="1"/>
    </row>
    <row r="25" spans="1:7" x14ac:dyDescent="0.25">
      <c r="A25" s="1"/>
      <c r="B25" s="89" t="s">
        <v>116</v>
      </c>
      <c r="C25" s="90"/>
      <c r="D25" s="90"/>
      <c r="E25" s="90"/>
      <c r="F25" s="91"/>
      <c r="G25" s="1"/>
    </row>
    <row r="26" spans="1:7" ht="15" customHeight="1" x14ac:dyDescent="0.25">
      <c r="A26" s="1"/>
      <c r="B26" s="29" t="s">
        <v>108</v>
      </c>
      <c r="C26" s="17">
        <f>'Fane 7. Kontrol af ØR2017'!G22</f>
        <v>0</v>
      </c>
      <c r="D26" s="18" t="s">
        <v>2</v>
      </c>
      <c r="E26" s="17">
        <f>C26</f>
        <v>0</v>
      </c>
      <c r="F26" s="18" t="s">
        <v>2</v>
      </c>
      <c r="G26" s="1"/>
    </row>
    <row r="27" spans="1:7" x14ac:dyDescent="0.25">
      <c r="A27" s="1"/>
      <c r="B27" s="39" t="s">
        <v>56</v>
      </c>
      <c r="C27" s="40"/>
      <c r="D27" s="41"/>
      <c r="E27" s="20">
        <f>SUM(E14,E18,E22,E24,E26)</f>
        <v>52240310.501451522</v>
      </c>
      <c r="F27" s="21" t="s">
        <v>2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password="DFE9" sheet="1" objects="1" scenarios="1"/>
  <mergeCells count="7">
    <mergeCell ref="B3:F4"/>
    <mergeCell ref="B5:F5"/>
    <mergeCell ref="B25:F25"/>
    <mergeCell ref="B23:F23"/>
    <mergeCell ref="B19:F19"/>
    <mergeCell ref="B15:F15"/>
    <mergeCell ref="B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0.710937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91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88" t="s">
        <v>43</v>
      </c>
      <c r="C5" s="88"/>
      <c r="D5" s="88"/>
      <c r="E5" s="88"/>
      <c r="F5" s="88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9" t="s">
        <v>25</v>
      </c>
      <c r="C8" s="40"/>
      <c r="D8" s="40"/>
      <c r="E8" s="40"/>
      <c r="F8" s="41"/>
      <c r="G8" s="1"/>
    </row>
    <row r="9" spans="1:7" ht="27.75" customHeight="1" x14ac:dyDescent="0.25">
      <c r="A9" s="1"/>
      <c r="B9" s="45" t="s">
        <v>57</v>
      </c>
      <c r="C9" s="7">
        <f>'Fane 2.2. Økonomisk ramme 2020'!E14</f>
        <v>52777207.207829371</v>
      </c>
      <c r="D9" s="8" t="s">
        <v>2</v>
      </c>
      <c r="E9" s="9"/>
      <c r="F9" s="10"/>
      <c r="G9" s="1"/>
    </row>
    <row r="10" spans="1:7" ht="15" customHeight="1" x14ac:dyDescent="0.25">
      <c r="A10" s="1"/>
      <c r="B10" s="46" t="s">
        <v>37</v>
      </c>
      <c r="C10" s="11">
        <f>C9*Prisudvikling2019</f>
        <v>891934.80181231629</v>
      </c>
      <c r="D10" s="8" t="s">
        <v>2</v>
      </c>
      <c r="E10" s="12"/>
      <c r="F10" s="13"/>
      <c r="G10" s="1"/>
    </row>
    <row r="11" spans="1:7" ht="15" customHeight="1" x14ac:dyDescent="0.25">
      <c r="A11" s="1"/>
      <c r="B11" s="46" t="s">
        <v>13</v>
      </c>
      <c r="C11" s="11">
        <f>-SUM(C9:C10)*IndividueltKrav</f>
        <v>-565819.72030222672</v>
      </c>
      <c r="D11" s="8" t="s">
        <v>2</v>
      </c>
      <c r="E11" s="12"/>
      <c r="F11" s="13"/>
      <c r="G11" s="1"/>
    </row>
    <row r="12" spans="1:7" ht="15" customHeight="1" x14ac:dyDescent="0.25">
      <c r="A12" s="1"/>
      <c r="B12" s="46" t="s">
        <v>61</v>
      </c>
      <c r="C12" s="11">
        <f>(('Fane 2.2. Økonomisk ramme 2020'!C12/GenereltKravDrift2019-'Fane 2.2. Økonomisk ramme 2020'!C12)*(1+Prisudvikling2019)*GenereltKravDrift2019)</f>
        <v>-342044.31728321413</v>
      </c>
      <c r="D12" s="8" t="s">
        <v>2</v>
      </c>
      <c r="E12" s="15"/>
      <c r="F12" s="16"/>
      <c r="G12" s="1"/>
    </row>
    <row r="13" spans="1:7" ht="15" customHeight="1" x14ac:dyDescent="0.25">
      <c r="A13" s="1"/>
      <c r="B13" s="46" t="s">
        <v>62</v>
      </c>
      <c r="C13" s="11">
        <f>(('Fane 2.2. Økonomisk ramme 2020'!C13/GenereltKravAnlæg2019-'Fane 2.2. Økonomisk ramme 2020'!C13)*(1+Prisudvikling2019)*GenereltKravAnlæg2019)</f>
        <v>-335230.29794030049</v>
      </c>
      <c r="D13" s="8" t="s">
        <v>2</v>
      </c>
      <c r="E13" s="15"/>
      <c r="F13" s="16"/>
      <c r="G13" s="1"/>
    </row>
    <row r="14" spans="1:7" x14ac:dyDescent="0.25">
      <c r="A14" s="1"/>
      <c r="B14" s="47" t="s">
        <v>40</v>
      </c>
      <c r="C14" s="17">
        <f>SUM(C9:C13)</f>
        <v>52426047.674115948</v>
      </c>
      <c r="D14" s="18" t="s">
        <v>2</v>
      </c>
      <c r="E14" s="17">
        <f>C14</f>
        <v>52426047.674115948</v>
      </c>
      <c r="F14" s="18" t="s">
        <v>2</v>
      </c>
      <c r="G14" s="1"/>
    </row>
    <row r="15" spans="1:7" x14ac:dyDescent="0.25">
      <c r="A15" s="1"/>
      <c r="B15" s="39" t="s">
        <v>74</v>
      </c>
      <c r="C15" s="40"/>
      <c r="D15" s="40"/>
      <c r="E15" s="40"/>
      <c r="F15" s="41"/>
      <c r="G15" s="1"/>
    </row>
    <row r="16" spans="1:7" ht="15" customHeight="1" x14ac:dyDescent="0.25">
      <c r="A16" s="1"/>
      <c r="B16" s="46" t="s">
        <v>139</v>
      </c>
      <c r="C16" s="11">
        <v>0</v>
      </c>
      <c r="D16" s="8" t="s">
        <v>2</v>
      </c>
      <c r="E16" s="12"/>
      <c r="F16" s="13"/>
      <c r="G16" s="1"/>
    </row>
    <row r="17" spans="1:7" ht="15" customHeight="1" x14ac:dyDescent="0.25">
      <c r="A17" s="1"/>
      <c r="B17" s="46" t="s">
        <v>76</v>
      </c>
      <c r="C17" s="11">
        <f>-(C16*(GenereltKravDrift2019+IndividueltKrav))</f>
        <v>0</v>
      </c>
      <c r="D17" s="8" t="s">
        <v>2</v>
      </c>
      <c r="E17" s="12"/>
      <c r="F17" s="13"/>
      <c r="G17" s="1"/>
    </row>
    <row r="18" spans="1:7" ht="15" customHeight="1" x14ac:dyDescent="0.25">
      <c r="A18" s="1"/>
      <c r="B18" s="29" t="s">
        <v>77</v>
      </c>
      <c r="C18" s="17">
        <f>SUM(C16:C17)</f>
        <v>0</v>
      </c>
      <c r="D18" s="18" t="s">
        <v>2</v>
      </c>
      <c r="E18" s="17">
        <f>C18</f>
        <v>0</v>
      </c>
      <c r="F18" s="18" t="s">
        <v>2</v>
      </c>
      <c r="G18" s="1"/>
    </row>
    <row r="19" spans="1:7" x14ac:dyDescent="0.25">
      <c r="A19" s="1"/>
      <c r="B19" s="39" t="s">
        <v>22</v>
      </c>
      <c r="C19" s="40"/>
      <c r="D19" s="40"/>
      <c r="E19" s="40"/>
      <c r="F19" s="41"/>
      <c r="G19" s="1"/>
    </row>
    <row r="20" spans="1:7" ht="15" customHeight="1" x14ac:dyDescent="0.25">
      <c r="A20" s="1"/>
      <c r="B20" s="46" t="s">
        <v>22</v>
      </c>
      <c r="C20" s="11">
        <f>'Fane 4. Ikke-påvirkelige omk.'!E15*(1+Prisudvikling2019)^2</f>
        <v>806656.73203436716</v>
      </c>
      <c r="D20" s="8" t="s">
        <v>2</v>
      </c>
      <c r="E20" s="12"/>
      <c r="F20" s="13"/>
      <c r="G20" s="1"/>
    </row>
    <row r="21" spans="1:7" ht="15" customHeight="1" x14ac:dyDescent="0.25">
      <c r="A21" s="1"/>
      <c r="B21" s="46" t="s">
        <v>79</v>
      </c>
      <c r="C21" s="11">
        <v>0</v>
      </c>
      <c r="D21" s="8" t="s">
        <v>2</v>
      </c>
      <c r="E21" s="14"/>
      <c r="F21" s="13"/>
      <c r="G21" s="1"/>
    </row>
    <row r="22" spans="1:7" ht="15" customHeight="1" x14ac:dyDescent="0.25">
      <c r="A22" s="1"/>
      <c r="B22" s="29" t="s">
        <v>80</v>
      </c>
      <c r="C22" s="17">
        <f>SUM(C20:C21)</f>
        <v>806656.73203436716</v>
      </c>
      <c r="D22" s="18" t="s">
        <v>2</v>
      </c>
      <c r="E22" s="17">
        <f>C22</f>
        <v>806656.73203436716</v>
      </c>
      <c r="F22" s="18" t="s">
        <v>2</v>
      </c>
      <c r="G22" s="1"/>
    </row>
    <row r="23" spans="1:7" ht="15" customHeight="1" x14ac:dyDescent="0.25">
      <c r="A23" s="1"/>
      <c r="B23" s="39" t="s">
        <v>116</v>
      </c>
      <c r="C23" s="40"/>
      <c r="D23" s="40"/>
      <c r="E23" s="40"/>
      <c r="F23" s="41"/>
      <c r="G23" s="1"/>
    </row>
    <row r="24" spans="1:7" ht="15" customHeight="1" x14ac:dyDescent="0.25">
      <c r="A24" s="1"/>
      <c r="B24" s="29" t="s">
        <v>108</v>
      </c>
      <c r="C24" s="17">
        <f>'Fane 2.2. Økonomisk ramme 2020'!C26*(1+Prisudvikling2019)</f>
        <v>0</v>
      </c>
      <c r="D24" s="18" t="s">
        <v>2</v>
      </c>
      <c r="E24" s="17">
        <f>C24</f>
        <v>0</v>
      </c>
      <c r="F24" s="18" t="s">
        <v>2</v>
      </c>
      <c r="G24" s="1"/>
    </row>
    <row r="25" spans="1:7" x14ac:dyDescent="0.25">
      <c r="A25" s="1"/>
      <c r="B25" s="39" t="s">
        <v>68</v>
      </c>
      <c r="C25" s="40"/>
      <c r="D25" s="41"/>
      <c r="E25" s="20">
        <f>SUM(E14,E18,E22,E24)</f>
        <v>53232704.406150319</v>
      </c>
      <c r="F25" s="21" t="s">
        <v>2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0.710937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92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88" t="s">
        <v>43</v>
      </c>
      <c r="C5" s="88"/>
      <c r="D5" s="88"/>
      <c r="E5" s="88"/>
      <c r="F5" s="88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39" t="s">
        <v>25</v>
      </c>
      <c r="C7" s="40"/>
      <c r="D7" s="40"/>
      <c r="E7" s="40"/>
      <c r="F7" s="41"/>
      <c r="G7" s="1"/>
    </row>
    <row r="8" spans="1:7" ht="27.75" customHeight="1" x14ac:dyDescent="0.25">
      <c r="A8" s="1"/>
      <c r="B8" s="45" t="s">
        <v>58</v>
      </c>
      <c r="C8" s="7">
        <f>'Fane 2.3. Økonomisk ramme 2021'!E14</f>
        <v>52426047.674115948</v>
      </c>
      <c r="D8" s="8" t="s">
        <v>2</v>
      </c>
      <c r="E8" s="9"/>
      <c r="F8" s="10"/>
      <c r="G8" s="1"/>
    </row>
    <row r="9" spans="1:7" ht="15" customHeight="1" x14ac:dyDescent="0.25">
      <c r="A9" s="1"/>
      <c r="B9" s="46" t="s">
        <v>37</v>
      </c>
      <c r="C9" s="11">
        <f>C8*Prisudvikling2019</f>
        <v>886000.20569255948</v>
      </c>
      <c r="D9" s="8" t="s">
        <v>2</v>
      </c>
      <c r="E9" s="12"/>
      <c r="F9" s="13"/>
      <c r="G9" s="1"/>
    </row>
    <row r="10" spans="1:7" ht="15" customHeight="1" x14ac:dyDescent="0.25">
      <c r="A10" s="1"/>
      <c r="B10" s="46" t="s">
        <v>13</v>
      </c>
      <c r="C10" s="11">
        <f>-SUM(C8:C9)*IndividueltKrav</f>
        <v>-562054.9703342194</v>
      </c>
      <c r="D10" s="8" t="s">
        <v>2</v>
      </c>
      <c r="E10" s="12"/>
      <c r="F10" s="13"/>
      <c r="G10" s="1"/>
    </row>
    <row r="11" spans="1:7" ht="15" customHeight="1" x14ac:dyDescent="0.25">
      <c r="A11" s="1"/>
      <c r="B11" s="46" t="s">
        <v>61</v>
      </c>
      <c r="C11" s="11">
        <f>('Fane 2.3. Økonomisk ramme 2021'!C12/GenereltKravDrift2019-'Fane 2.3. Økonomisk ramme 2021'!C12)*(1+Prisudvikling2019)*GenereltKravDrift2019</f>
        <v>-340868.36892039439</v>
      </c>
      <c r="D11" s="8" t="s">
        <v>2</v>
      </c>
      <c r="E11" s="14"/>
      <c r="F11" s="13"/>
      <c r="G11" s="1"/>
    </row>
    <row r="12" spans="1:7" ht="15" customHeight="1" x14ac:dyDescent="0.25">
      <c r="A12" s="1"/>
      <c r="B12" s="46" t="s">
        <v>62</v>
      </c>
      <c r="C12" s="11">
        <f>('Fane 2.3. Økonomisk ramme 2021'!C13/GenereltKravAnlæg2019-'Fane 2.3. Økonomisk ramme 2021'!C13)*(1+Prisudvikling2019)*GenereltKravAnlæg2019</f>
        <v>-337929.89747270476</v>
      </c>
      <c r="D12" s="8" t="s">
        <v>2</v>
      </c>
      <c r="E12" s="15"/>
      <c r="F12" s="16"/>
      <c r="G12" s="1"/>
    </row>
    <row r="13" spans="1:7" x14ac:dyDescent="0.25">
      <c r="A13" s="1"/>
      <c r="B13" s="47" t="s">
        <v>40</v>
      </c>
      <c r="C13" s="17">
        <f>SUM(C8:C12)</f>
        <v>52071194.643081196</v>
      </c>
      <c r="D13" s="18" t="s">
        <v>2</v>
      </c>
      <c r="E13" s="17">
        <f>C13</f>
        <v>52071194.643081196</v>
      </c>
      <c r="F13" s="18" t="s">
        <v>2</v>
      </c>
      <c r="G13" s="1"/>
    </row>
    <row r="14" spans="1:7" x14ac:dyDescent="0.25">
      <c r="A14" s="1"/>
      <c r="B14" s="39" t="s">
        <v>74</v>
      </c>
      <c r="C14" s="40"/>
      <c r="D14" s="40"/>
      <c r="E14" s="40"/>
      <c r="F14" s="41"/>
      <c r="G14" s="1"/>
    </row>
    <row r="15" spans="1:7" ht="15" customHeight="1" x14ac:dyDescent="0.25">
      <c r="A15" s="1"/>
      <c r="B15" s="46" t="s">
        <v>139</v>
      </c>
      <c r="C15" s="11">
        <v>0</v>
      </c>
      <c r="D15" s="8" t="s">
        <v>2</v>
      </c>
      <c r="E15" s="12"/>
      <c r="F15" s="13"/>
      <c r="G15" s="1"/>
    </row>
    <row r="16" spans="1:7" ht="15" customHeight="1" x14ac:dyDescent="0.25">
      <c r="A16" s="1"/>
      <c r="B16" s="46" t="s">
        <v>76</v>
      </c>
      <c r="C16" s="11">
        <f>-(C15*(GenereltKravDrift2019+IndividueltKrav))</f>
        <v>0</v>
      </c>
      <c r="D16" s="8" t="s">
        <v>2</v>
      </c>
      <c r="E16" s="12"/>
      <c r="F16" s="13"/>
      <c r="G16" s="1"/>
    </row>
    <row r="17" spans="1:7" ht="15" customHeight="1" x14ac:dyDescent="0.25">
      <c r="A17" s="1"/>
      <c r="B17" s="29" t="s">
        <v>77</v>
      </c>
      <c r="C17" s="17">
        <f>SUM(C15:C16)</f>
        <v>0</v>
      </c>
      <c r="D17" s="18" t="s">
        <v>2</v>
      </c>
      <c r="E17" s="17">
        <f>C17</f>
        <v>0</v>
      </c>
      <c r="F17" s="18" t="s">
        <v>2</v>
      </c>
      <c r="G17" s="1"/>
    </row>
    <row r="18" spans="1:7" x14ac:dyDescent="0.25">
      <c r="A18" s="1"/>
      <c r="B18" s="39" t="s">
        <v>22</v>
      </c>
      <c r="C18" s="40"/>
      <c r="D18" s="40"/>
      <c r="E18" s="40"/>
      <c r="F18" s="41"/>
      <c r="G18" s="1"/>
    </row>
    <row r="19" spans="1:7" ht="15" customHeight="1" x14ac:dyDescent="0.25">
      <c r="A19" s="1"/>
      <c r="B19" s="46" t="s">
        <v>22</v>
      </c>
      <c r="C19" s="11">
        <f>'Fane 4. Ikke-påvirkelige omk.'!E15*(1+Prisudvikling2019)^3</f>
        <v>820289.23080574791</v>
      </c>
      <c r="D19" s="8" t="s">
        <v>2</v>
      </c>
      <c r="E19" s="12"/>
      <c r="F19" s="13"/>
      <c r="G19" s="1"/>
    </row>
    <row r="20" spans="1:7" ht="15" customHeight="1" x14ac:dyDescent="0.25">
      <c r="A20" s="1"/>
      <c r="B20" s="46" t="s">
        <v>79</v>
      </c>
      <c r="C20" s="11">
        <v>0</v>
      </c>
      <c r="D20" s="8" t="s">
        <v>2</v>
      </c>
      <c r="E20" s="14"/>
      <c r="F20" s="13"/>
      <c r="G20" s="1"/>
    </row>
    <row r="21" spans="1:7" ht="15" customHeight="1" x14ac:dyDescent="0.25">
      <c r="A21" s="1"/>
      <c r="B21" s="29" t="s">
        <v>80</v>
      </c>
      <c r="C21" s="17">
        <f>SUM(C19:C20)</f>
        <v>820289.23080574791</v>
      </c>
      <c r="D21" s="18" t="s">
        <v>2</v>
      </c>
      <c r="E21" s="17">
        <f>C21</f>
        <v>820289.23080574791</v>
      </c>
      <c r="F21" s="18" t="s">
        <v>2</v>
      </c>
      <c r="G21" s="1"/>
    </row>
    <row r="22" spans="1:7" x14ac:dyDescent="0.25">
      <c r="A22" s="1"/>
      <c r="B22" s="39" t="s">
        <v>78</v>
      </c>
      <c r="C22" s="40"/>
      <c r="D22" s="41"/>
      <c r="E22" s="20">
        <f>SUM(E13,E17,E21)</f>
        <v>52891483.873886943</v>
      </c>
      <c r="F22" s="21" t="s">
        <v>2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56.710937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4.28515625" style="2" hidden="1" customWidth="1"/>
    <col min="7" max="7" width="10.57031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2" t="s">
        <v>93</v>
      </c>
      <c r="C3" s="92"/>
      <c r="D3" s="92"/>
      <c r="E3" s="92"/>
      <c r="F3" s="92"/>
      <c r="G3" s="92"/>
      <c r="H3" s="92"/>
      <c r="I3" s="1"/>
    </row>
    <row r="4" spans="1:9" ht="29.2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9" t="s">
        <v>49</v>
      </c>
      <c r="C8" s="40"/>
      <c r="D8" s="40"/>
      <c r="E8" s="40"/>
      <c r="F8" s="40"/>
      <c r="G8" s="40"/>
      <c r="H8" s="41"/>
      <c r="I8" s="1"/>
    </row>
    <row r="9" spans="1:9" x14ac:dyDescent="0.25">
      <c r="A9" s="1"/>
      <c r="B9" s="42" t="s">
        <v>32</v>
      </c>
      <c r="C9" s="43"/>
      <c r="D9" s="43"/>
      <c r="E9" s="43"/>
      <c r="F9" s="44"/>
      <c r="G9" s="11">
        <v>54250409.633044682</v>
      </c>
      <c r="H9" s="22" t="s">
        <v>2</v>
      </c>
      <c r="I9" s="1"/>
    </row>
    <row r="10" spans="1:9" x14ac:dyDescent="0.25">
      <c r="A10" s="1"/>
      <c r="B10" s="50" t="s">
        <v>73</v>
      </c>
      <c r="C10" s="43"/>
      <c r="D10" s="43"/>
      <c r="E10" s="43"/>
      <c r="F10" s="44"/>
      <c r="G10" s="11">
        <v>0</v>
      </c>
      <c r="H10" s="22" t="s">
        <v>2</v>
      </c>
      <c r="I10" s="1"/>
    </row>
    <row r="11" spans="1:9" x14ac:dyDescent="0.25">
      <c r="A11" s="1"/>
      <c r="B11" s="50" t="s">
        <v>48</v>
      </c>
      <c r="C11" s="43"/>
      <c r="D11" s="43"/>
      <c r="E11" s="43"/>
      <c r="F11" s="44"/>
      <c r="G11" s="11">
        <v>471798.82796398876</v>
      </c>
      <c r="H11" s="22" t="s">
        <v>2</v>
      </c>
      <c r="I11" s="1"/>
    </row>
    <row r="12" spans="1:9" x14ac:dyDescent="0.25">
      <c r="A12" s="1"/>
      <c r="B12" s="50" t="s">
        <v>75</v>
      </c>
      <c r="C12" s="43"/>
      <c r="D12" s="43"/>
      <c r="E12" s="43"/>
      <c r="F12" s="44"/>
      <c r="G12" s="11">
        <v>0</v>
      </c>
      <c r="H12" s="22" t="s">
        <v>2</v>
      </c>
      <c r="I12" s="1"/>
    </row>
    <row r="13" spans="1:9" ht="26.25" customHeight="1" x14ac:dyDescent="0.25">
      <c r="A13" s="1"/>
      <c r="B13" s="51" t="s">
        <v>59</v>
      </c>
      <c r="C13" s="40"/>
      <c r="D13" s="40"/>
      <c r="E13" s="40"/>
      <c r="F13" s="41"/>
      <c r="G13" s="34">
        <f>G9-G10-G11</f>
        <v>53778610.805080697</v>
      </c>
      <c r="H13" s="35" t="s">
        <v>2</v>
      </c>
      <c r="I13" s="1"/>
    </row>
    <row r="14" spans="1:9" x14ac:dyDescent="0.25">
      <c r="A14" s="1"/>
      <c r="B14" s="23"/>
      <c r="C14" s="23"/>
      <c r="D14" s="23"/>
      <c r="E14" s="23"/>
      <c r="F14" s="23"/>
      <c r="G14" s="23"/>
      <c r="H14" s="23"/>
      <c r="I14" s="1"/>
    </row>
    <row r="15" spans="1:9" x14ac:dyDescent="0.25">
      <c r="A15" s="1"/>
      <c r="B15" s="24"/>
      <c r="C15" s="23"/>
      <c r="D15" s="23"/>
      <c r="E15" s="23"/>
      <c r="F15" s="23"/>
      <c r="G15" s="23"/>
      <c r="H15" s="23"/>
      <c r="I15" s="1"/>
    </row>
    <row r="16" spans="1:9" x14ac:dyDescent="0.25">
      <c r="A16" s="1"/>
      <c r="B16" s="24"/>
      <c r="C16" s="23"/>
      <c r="D16" s="23"/>
      <c r="E16" s="23"/>
      <c r="F16" s="23"/>
      <c r="G16" s="23"/>
      <c r="H16" s="23"/>
      <c r="I16" s="1"/>
    </row>
    <row r="17" spans="1:9" x14ac:dyDescent="0.25">
      <c r="A17" s="1"/>
      <c r="B17" s="24"/>
      <c r="C17" s="1"/>
      <c r="D17" s="1"/>
      <c r="E17" s="1"/>
      <c r="F17" s="1"/>
      <c r="G17" s="23"/>
      <c r="H17" s="1"/>
      <c r="I17" s="1"/>
    </row>
    <row r="18" spans="1:9" x14ac:dyDescent="0.25">
      <c r="A18" s="1"/>
      <c r="B18" s="24"/>
      <c r="C18" s="1"/>
      <c r="D18" s="1"/>
      <c r="E18" s="1"/>
      <c r="F18" s="1"/>
      <c r="G18" s="23"/>
      <c r="H18" s="1"/>
      <c r="I18" s="1"/>
    </row>
    <row r="19" spans="1:9" x14ac:dyDescent="0.25">
      <c r="A19" s="1"/>
      <c r="B19" s="24"/>
      <c r="C19" s="1"/>
      <c r="D19" s="1"/>
      <c r="E19" s="1"/>
      <c r="F19" s="1"/>
      <c r="G19" s="23"/>
      <c r="H19" s="1"/>
      <c r="I19" s="1"/>
    </row>
    <row r="20" spans="1:9" x14ac:dyDescent="0.25">
      <c r="A20" s="1"/>
      <c r="B20" s="24"/>
      <c r="C20" s="1"/>
      <c r="D20" s="1"/>
      <c r="E20" s="1"/>
      <c r="F20" s="1"/>
      <c r="G20" s="23"/>
      <c r="H20" s="1"/>
      <c r="I20" s="1"/>
    </row>
    <row r="21" spans="1:9" x14ac:dyDescent="0.25">
      <c r="A21" s="1"/>
      <c r="B21" s="24"/>
      <c r="C21" s="1"/>
      <c r="D21" s="1"/>
      <c r="E21" s="1"/>
      <c r="F21" s="1"/>
      <c r="G21" s="23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9.140625" style="2"/>
    <col min="3" max="3" width="20.28515625" style="2" customWidth="1"/>
    <col min="4" max="4" width="9.140625" style="2" customWidth="1"/>
    <col min="5" max="5" width="24.7109375" style="2" customWidth="1"/>
    <col min="6" max="6" width="3.28515625" style="2" customWidth="1"/>
    <col min="7" max="7" width="7.85546875" style="2" customWidth="1"/>
    <col min="8" max="8" width="0" style="2" hidden="1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7" t="s">
        <v>102</v>
      </c>
      <c r="C3" s="87"/>
      <c r="D3" s="87"/>
      <c r="E3" s="87"/>
      <c r="F3" s="87"/>
      <c r="G3" s="1"/>
      <c r="H3" s="1"/>
    </row>
    <row r="4" spans="1:8" ht="15" customHeight="1" x14ac:dyDescent="0.25">
      <c r="A4" s="1"/>
      <c r="B4" s="87"/>
      <c r="C4" s="87"/>
      <c r="D4" s="87"/>
      <c r="E4" s="87"/>
      <c r="F4" s="87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9" t="s">
        <v>60</v>
      </c>
      <c r="C8" s="40"/>
      <c r="D8" s="40"/>
      <c r="E8" s="40"/>
      <c r="F8" s="41"/>
      <c r="G8" s="1"/>
      <c r="H8" s="1"/>
    </row>
    <row r="9" spans="1:8" ht="15" customHeight="1" x14ac:dyDescent="0.25">
      <c r="A9" s="1"/>
      <c r="B9" s="47" t="s">
        <v>111</v>
      </c>
      <c r="C9" s="30"/>
      <c r="D9" s="37"/>
      <c r="E9" s="52" t="s">
        <v>47</v>
      </c>
      <c r="F9" s="18"/>
      <c r="G9" s="1"/>
      <c r="H9" s="1"/>
    </row>
    <row r="10" spans="1:8" x14ac:dyDescent="0.25">
      <c r="A10" s="1"/>
      <c r="B10" s="93" t="s">
        <v>135</v>
      </c>
      <c r="C10" s="94"/>
      <c r="D10" s="95"/>
      <c r="E10" s="11">
        <v>488319</v>
      </c>
      <c r="F10" s="22" t="s">
        <v>2</v>
      </c>
      <c r="G10" s="1"/>
      <c r="H10" s="1"/>
    </row>
    <row r="11" spans="1:8" x14ac:dyDescent="0.25">
      <c r="A11" s="1"/>
      <c r="B11" s="93" t="s">
        <v>136</v>
      </c>
      <c r="C11" s="94"/>
      <c r="D11" s="95"/>
      <c r="E11" s="11">
        <v>36230</v>
      </c>
      <c r="F11" s="22" t="s">
        <v>2</v>
      </c>
      <c r="G11" s="1"/>
      <c r="H11" s="1"/>
    </row>
    <row r="12" spans="1:8" x14ac:dyDescent="0.25">
      <c r="A12" s="1"/>
      <c r="B12" s="93" t="s">
        <v>137</v>
      </c>
      <c r="C12" s="94"/>
      <c r="D12" s="95"/>
      <c r="E12" s="11">
        <v>139427</v>
      </c>
      <c r="F12" s="22" t="s">
        <v>2</v>
      </c>
      <c r="G12" s="1"/>
      <c r="H12" s="1"/>
    </row>
    <row r="13" spans="1:8" x14ac:dyDescent="0.25">
      <c r="A13" s="1"/>
      <c r="B13" s="93" t="s">
        <v>138</v>
      </c>
      <c r="C13" s="94"/>
      <c r="D13" s="95"/>
      <c r="E13" s="11">
        <v>90379</v>
      </c>
      <c r="F13" s="22" t="s">
        <v>2</v>
      </c>
      <c r="G13" s="1"/>
      <c r="H13" s="1"/>
    </row>
    <row r="14" spans="1:8" x14ac:dyDescent="0.25">
      <c r="A14" s="1"/>
      <c r="B14" s="89" t="s">
        <v>128</v>
      </c>
      <c r="C14" s="90"/>
      <c r="D14" s="91"/>
      <c r="E14" s="20">
        <f>SUM(E10:E13)</f>
        <v>754355</v>
      </c>
      <c r="F14" s="21" t="s">
        <v>2</v>
      </c>
      <c r="G14" s="1"/>
      <c r="H14" s="1"/>
    </row>
    <row r="15" spans="1:8" x14ac:dyDescent="0.25">
      <c r="A15" s="1"/>
      <c r="B15" s="89" t="s">
        <v>129</v>
      </c>
      <c r="C15" s="90"/>
      <c r="D15" s="91"/>
      <c r="E15" s="20">
        <f>E14*(1+Prisudvikling2019)^2</f>
        <v>780067.65033154981</v>
      </c>
      <c r="F15" s="21" t="s">
        <v>2</v>
      </c>
      <c r="G15" s="1"/>
      <c r="H15" s="1"/>
    </row>
    <row r="16" spans="1:8" x14ac:dyDescent="0.25">
      <c r="A16" s="1"/>
      <c r="B16" s="24"/>
      <c r="C16" s="23"/>
      <c r="D16" s="23"/>
      <c r="E16" s="23"/>
      <c r="F16" s="23"/>
      <c r="G16" s="1"/>
      <c r="H16" s="1"/>
    </row>
    <row r="17" spans="1:8" x14ac:dyDescent="0.25">
      <c r="A17" s="1"/>
      <c r="B17" s="23"/>
      <c r="C17" s="23"/>
      <c r="D17" s="23"/>
      <c r="E17" s="23"/>
      <c r="F17" s="23"/>
      <c r="G17" s="1"/>
      <c r="H17" s="1"/>
    </row>
    <row r="18" spans="1:8" x14ac:dyDescent="0.25">
      <c r="A18" s="1"/>
      <c r="B18" s="1"/>
      <c r="C18" s="1"/>
      <c r="D18" s="1"/>
      <c r="E18" s="23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</row>
  </sheetData>
  <sheetProtection password="DFE9" sheet="1" objects="1" scenarios="1"/>
  <mergeCells count="7">
    <mergeCell ref="B3:F4"/>
    <mergeCell ref="B14:D14"/>
    <mergeCell ref="B15:D15"/>
    <mergeCell ref="B10:D10"/>
    <mergeCell ref="B12:D12"/>
    <mergeCell ref="B13:D13"/>
    <mergeCell ref="B11:D11"/>
  </mergeCells>
  <pageMargins left="0.82291666666666663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5" width="9.140625" style="2"/>
    <col min="6" max="6" width="23.42578125" style="2" customWidth="1"/>
    <col min="7" max="7" width="10.28515625" style="2" customWidth="1"/>
    <col min="8" max="8" width="3.28515625" style="2" customWidth="1"/>
    <col min="9" max="9" width="6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120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9" t="s">
        <v>14</v>
      </c>
      <c r="C8" s="40"/>
      <c r="D8" s="40"/>
      <c r="E8" s="40"/>
      <c r="F8" s="40"/>
      <c r="G8" s="40"/>
      <c r="H8" s="41"/>
      <c r="I8" s="1"/>
    </row>
    <row r="9" spans="1:9" x14ac:dyDescent="0.25">
      <c r="A9" s="1"/>
      <c r="B9" s="42" t="s">
        <v>82</v>
      </c>
      <c r="C9" s="43"/>
      <c r="D9" s="43"/>
      <c r="E9" s="43"/>
      <c r="F9" s="44"/>
      <c r="G9" s="56">
        <v>345392.76796700101</v>
      </c>
      <c r="H9" s="22" t="s">
        <v>2</v>
      </c>
      <c r="I9" s="1"/>
    </row>
    <row r="10" spans="1:9" x14ac:dyDescent="0.25">
      <c r="A10" s="1"/>
      <c r="B10" s="42" t="s">
        <v>83</v>
      </c>
      <c r="C10" s="43"/>
      <c r="D10" s="43"/>
      <c r="E10" s="43"/>
      <c r="F10" s="44"/>
      <c r="G10" s="56">
        <f>G9/GenereltKravDrift2018</f>
        <v>17269638.398350049</v>
      </c>
      <c r="H10" s="22" t="s">
        <v>2</v>
      </c>
      <c r="I10" s="1"/>
    </row>
    <row r="11" spans="1:9" x14ac:dyDescent="0.25">
      <c r="A11" s="1"/>
      <c r="B11" s="42" t="s">
        <v>84</v>
      </c>
      <c r="C11" s="43"/>
      <c r="D11" s="43"/>
      <c r="E11" s="43"/>
      <c r="F11" s="44"/>
      <c r="G11" s="56">
        <v>677630.02732225752</v>
      </c>
      <c r="H11" s="22" t="s">
        <v>2</v>
      </c>
      <c r="I11" s="1"/>
    </row>
    <row r="12" spans="1:9" x14ac:dyDescent="0.25">
      <c r="A12" s="1"/>
      <c r="B12" s="42" t="s">
        <v>85</v>
      </c>
      <c r="C12" s="43"/>
      <c r="D12" s="43"/>
      <c r="E12" s="43"/>
      <c r="F12" s="44"/>
      <c r="G12" s="56">
        <f>G11/GenereltKravAnlæg2018</f>
        <v>38284182.334590822</v>
      </c>
      <c r="H12" s="22" t="s">
        <v>2</v>
      </c>
      <c r="I12" s="1"/>
    </row>
    <row r="13" spans="1:9" x14ac:dyDescent="0.25">
      <c r="A13" s="1"/>
      <c r="B13" s="39"/>
      <c r="C13" s="40"/>
      <c r="D13" s="40"/>
      <c r="E13" s="40"/>
      <c r="F13" s="40"/>
      <c r="G13" s="40"/>
      <c r="H13" s="4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39" t="s">
        <v>67</v>
      </c>
      <c r="C16" s="40"/>
      <c r="D16" s="40"/>
      <c r="E16" s="40"/>
      <c r="F16" s="40"/>
      <c r="G16" s="40"/>
      <c r="H16" s="41"/>
      <c r="I16" s="1"/>
    </row>
    <row r="17" spans="1:9" x14ac:dyDescent="0.25">
      <c r="A17" s="1"/>
      <c r="B17" s="96" t="s">
        <v>87</v>
      </c>
      <c r="C17" s="97"/>
      <c r="D17" s="97"/>
      <c r="E17" s="97"/>
      <c r="F17" s="98"/>
      <c r="G17" s="57">
        <v>0.02</v>
      </c>
      <c r="H17" s="22"/>
      <c r="I17" s="1"/>
    </row>
    <row r="18" spans="1:9" x14ac:dyDescent="0.25">
      <c r="A18" s="1"/>
      <c r="B18" s="96" t="s">
        <v>86</v>
      </c>
      <c r="C18" s="97"/>
      <c r="D18" s="97"/>
      <c r="E18" s="97"/>
      <c r="F18" s="98"/>
      <c r="G18" s="57">
        <v>0.02</v>
      </c>
      <c r="H18" s="22"/>
      <c r="I18" s="1"/>
    </row>
    <row r="19" spans="1:9" x14ac:dyDescent="0.25">
      <c r="A19" s="1"/>
      <c r="B19" s="96" t="s">
        <v>88</v>
      </c>
      <c r="C19" s="97"/>
      <c r="D19" s="97"/>
      <c r="E19" s="97"/>
      <c r="F19" s="98"/>
      <c r="G19" s="57">
        <v>1.77E-2</v>
      </c>
      <c r="H19" s="22"/>
      <c r="I19" s="1"/>
    </row>
    <row r="20" spans="1:9" x14ac:dyDescent="0.25">
      <c r="A20" s="1"/>
      <c r="B20" s="96" t="s">
        <v>132</v>
      </c>
      <c r="C20" s="97"/>
      <c r="D20" s="97"/>
      <c r="E20" s="97"/>
      <c r="F20" s="98"/>
      <c r="G20" s="57">
        <v>8.6999999999999994E-3</v>
      </c>
      <c r="H20" s="22"/>
      <c r="I20" s="1"/>
    </row>
    <row r="21" spans="1:9" x14ac:dyDescent="0.25">
      <c r="A21" s="1"/>
      <c r="B21" s="39"/>
      <c r="C21" s="40"/>
      <c r="D21" s="40"/>
      <c r="E21" s="40"/>
      <c r="F21" s="40"/>
      <c r="G21" s="40"/>
      <c r="H21" s="4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5">
    <mergeCell ref="B3:H4"/>
    <mergeCell ref="B20:F20"/>
    <mergeCell ref="B19:F19"/>
    <mergeCell ref="B18:F18"/>
    <mergeCell ref="B17:F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125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9" t="s">
        <v>23</v>
      </c>
      <c r="C8" s="40"/>
      <c r="D8" s="40"/>
      <c r="E8" s="40"/>
      <c r="F8" s="40"/>
      <c r="G8" s="40"/>
      <c r="H8" s="41"/>
      <c r="I8" s="1"/>
    </row>
    <row r="9" spans="1:9" x14ac:dyDescent="0.25">
      <c r="A9" s="1"/>
      <c r="B9" s="42" t="s">
        <v>17</v>
      </c>
      <c r="C9" s="43"/>
      <c r="D9" s="43"/>
      <c r="E9" s="43"/>
      <c r="F9" s="44"/>
      <c r="G9" s="11">
        <v>-13183461</v>
      </c>
      <c r="H9" s="22" t="s">
        <v>2</v>
      </c>
      <c r="I9" s="1"/>
    </row>
    <row r="10" spans="1:9" x14ac:dyDescent="0.25">
      <c r="A10" s="1"/>
      <c r="B10" s="42" t="s">
        <v>46</v>
      </c>
      <c r="C10" s="43"/>
      <c r="D10" s="43"/>
      <c r="E10" s="43"/>
      <c r="F10" s="44"/>
      <c r="G10" s="11">
        <v>-10523166</v>
      </c>
      <c r="H10" s="22" t="s">
        <v>2</v>
      </c>
      <c r="I10" s="1"/>
    </row>
    <row r="11" spans="1:9" x14ac:dyDescent="0.25">
      <c r="A11" s="1"/>
      <c r="B11" s="53" t="s">
        <v>20</v>
      </c>
      <c r="C11" s="54"/>
      <c r="D11" s="54"/>
      <c r="E11" s="54"/>
      <c r="F11" s="55"/>
      <c r="G11" s="31">
        <f>G9-G10</f>
        <v>-2660295</v>
      </c>
      <c r="H11" s="26" t="s">
        <v>2</v>
      </c>
      <c r="I11" s="1"/>
    </row>
    <row r="12" spans="1:9" x14ac:dyDescent="0.25">
      <c r="A12" s="1"/>
      <c r="B12" s="42" t="s">
        <v>18</v>
      </c>
      <c r="C12" s="43"/>
      <c r="D12" s="43"/>
      <c r="E12" s="43"/>
      <c r="F12" s="44"/>
      <c r="G12" s="11">
        <v>2</v>
      </c>
      <c r="H12" s="22" t="s">
        <v>38</v>
      </c>
      <c r="I12" s="1"/>
    </row>
    <row r="13" spans="1:9" x14ac:dyDescent="0.25">
      <c r="A13" s="1"/>
      <c r="B13" s="39" t="s">
        <v>16</v>
      </c>
      <c r="C13" s="40"/>
      <c r="D13" s="40"/>
      <c r="E13" s="40"/>
      <c r="F13" s="41"/>
      <c r="G13" s="20">
        <f>IF(G12 = 0,0,G11/G12)</f>
        <v>-1330147.5</v>
      </c>
      <c r="H13" s="21" t="s">
        <v>2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3" style="2" customWidth="1"/>
    <col min="2" max="3" width="9.140625" style="2"/>
    <col min="4" max="4" width="31.140625" style="2" customWidth="1"/>
    <col min="5" max="5" width="10.7109375" style="2" customWidth="1"/>
    <col min="6" max="6" width="3.28515625" style="2" customWidth="1"/>
    <col min="7" max="7" width="10.7109375" style="2" customWidth="1"/>
    <col min="8" max="8" width="3.28515625" style="2" customWidth="1"/>
    <col min="9" max="9" width="3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92" t="s">
        <v>126</v>
      </c>
      <c r="C3" s="92"/>
      <c r="D3" s="92"/>
      <c r="E3" s="92"/>
      <c r="F3" s="92"/>
      <c r="G3" s="92"/>
      <c r="H3" s="92"/>
      <c r="I3" s="1"/>
    </row>
    <row r="4" spans="1:9" ht="1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9" t="s">
        <v>116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96" t="s">
        <v>105</v>
      </c>
      <c r="C9" s="97"/>
      <c r="D9" s="98"/>
      <c r="E9" s="11">
        <v>58539120.29632353</v>
      </c>
      <c r="F9" s="22" t="s">
        <v>2</v>
      </c>
      <c r="G9" s="19"/>
      <c r="H9" s="27"/>
      <c r="I9" s="1"/>
    </row>
    <row r="10" spans="1:9" x14ac:dyDescent="0.25">
      <c r="A10" s="1"/>
      <c r="B10" s="96" t="s">
        <v>106</v>
      </c>
      <c r="C10" s="97"/>
      <c r="D10" s="98"/>
      <c r="E10" s="11">
        <v>43114146</v>
      </c>
      <c r="F10" s="22" t="s">
        <v>2</v>
      </c>
      <c r="G10" s="14"/>
      <c r="H10" s="28"/>
      <c r="I10" s="1"/>
    </row>
    <row r="11" spans="1:9" x14ac:dyDescent="0.25">
      <c r="A11" s="1"/>
      <c r="B11" s="96" t="s">
        <v>112</v>
      </c>
      <c r="C11" s="97"/>
      <c r="D11" s="98"/>
      <c r="E11" s="11">
        <v>0</v>
      </c>
      <c r="F11" s="22" t="s">
        <v>2</v>
      </c>
      <c r="G11" s="14"/>
      <c r="H11" s="28"/>
      <c r="I11" s="1"/>
    </row>
    <row r="12" spans="1:9" x14ac:dyDescent="0.25">
      <c r="A12" s="1"/>
      <c r="B12" s="47" t="s">
        <v>107</v>
      </c>
      <c r="C12" s="48"/>
      <c r="D12" s="49"/>
      <c r="E12" s="17">
        <f>E9-(E10-E11)</f>
        <v>15424974.29632353</v>
      </c>
      <c r="F12" s="25" t="s">
        <v>2</v>
      </c>
      <c r="G12" s="17">
        <f>E12</f>
        <v>15424974.29632353</v>
      </c>
      <c r="H12" s="25" t="s">
        <v>2</v>
      </c>
      <c r="I12" s="1"/>
    </row>
    <row r="13" spans="1:9" x14ac:dyDescent="0.25">
      <c r="A13" s="1"/>
      <c r="B13" s="39"/>
      <c r="C13" s="40"/>
      <c r="D13" s="40"/>
      <c r="E13" s="40"/>
      <c r="F13" s="40"/>
      <c r="G13" s="40"/>
      <c r="H13" s="4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89" t="s">
        <v>117</v>
      </c>
      <c r="C17" s="90"/>
      <c r="D17" s="90"/>
      <c r="E17" s="90"/>
      <c r="F17" s="90"/>
      <c r="G17" s="90"/>
      <c r="H17" s="91"/>
      <c r="I17" s="1"/>
    </row>
    <row r="18" spans="1:9" x14ac:dyDescent="0.25">
      <c r="A18" s="1"/>
      <c r="B18" s="99" t="s">
        <v>118</v>
      </c>
      <c r="C18" s="100"/>
      <c r="D18" s="101"/>
      <c r="E18" s="11">
        <f>IF(E12&lt;0,E12,0)</f>
        <v>0</v>
      </c>
      <c r="F18" s="22" t="s">
        <v>2</v>
      </c>
      <c r="G18" s="14"/>
      <c r="H18" s="28"/>
      <c r="I18" s="1"/>
    </row>
    <row r="19" spans="1:9" x14ac:dyDescent="0.25">
      <c r="A19" s="1"/>
      <c r="B19" s="99" t="s">
        <v>113</v>
      </c>
      <c r="C19" s="100"/>
      <c r="D19" s="101"/>
      <c r="E19" s="11">
        <v>2</v>
      </c>
      <c r="F19" s="22" t="s">
        <v>38</v>
      </c>
      <c r="G19" s="14"/>
      <c r="H19" s="28"/>
      <c r="I19" s="1"/>
    </row>
    <row r="20" spans="1:9" x14ac:dyDescent="0.25">
      <c r="A20" s="1"/>
      <c r="B20" s="99" t="s">
        <v>119</v>
      </c>
      <c r="C20" s="100"/>
      <c r="D20" s="101"/>
      <c r="E20" s="11">
        <f>E18/E19</f>
        <v>0</v>
      </c>
      <c r="F20" s="22" t="s">
        <v>2</v>
      </c>
      <c r="G20" s="14"/>
      <c r="H20" s="28"/>
      <c r="I20" s="1"/>
    </row>
    <row r="21" spans="1:9" x14ac:dyDescent="0.25">
      <c r="A21" s="1"/>
      <c r="B21" s="89" t="s">
        <v>114</v>
      </c>
      <c r="C21" s="90"/>
      <c r="D21" s="90"/>
      <c r="E21" s="90"/>
      <c r="F21" s="91"/>
      <c r="G21" s="20">
        <f>E20</f>
        <v>0</v>
      </c>
      <c r="H21" s="21" t="s">
        <v>2</v>
      </c>
      <c r="I21" s="1"/>
    </row>
    <row r="22" spans="1:9" x14ac:dyDescent="0.25">
      <c r="A22" s="1"/>
      <c r="B22" s="89" t="s">
        <v>115</v>
      </c>
      <c r="C22" s="90"/>
      <c r="D22" s="90"/>
      <c r="E22" s="90"/>
      <c r="F22" s="91"/>
      <c r="G22" s="20">
        <f>G21*(1+Prisudvikling2019)^3</f>
        <v>0</v>
      </c>
      <c r="H22" s="21" t="s">
        <v>2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1">
    <mergeCell ref="B3:H4"/>
    <mergeCell ref="B8:H8"/>
    <mergeCell ref="B17:H17"/>
    <mergeCell ref="B9:D9"/>
    <mergeCell ref="B10:D10"/>
    <mergeCell ref="B11:D11"/>
    <mergeCell ref="B18:D18"/>
    <mergeCell ref="B19:D19"/>
    <mergeCell ref="B20:D20"/>
    <mergeCell ref="B21:F21"/>
    <mergeCell ref="B22:F22"/>
  </mergeCells>
  <pageMargins left="0.8020833333333333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7"/>
  <sheetViews>
    <sheetView showGridLines="0" view="pageLayout" zoomScaleNormal="100" workbookViewId="0"/>
  </sheetViews>
  <sheetFormatPr defaultColWidth="9.140625" defaultRowHeight="15" x14ac:dyDescent="0.25"/>
  <cols>
    <col min="1" max="1" width="3" style="2" customWidth="1"/>
    <col min="2" max="2" width="25.28515625" style="2" customWidth="1"/>
    <col min="3" max="3" width="8.28515625" style="2" customWidth="1"/>
    <col min="4" max="6" width="10.7109375" style="2" customWidth="1"/>
    <col min="7" max="7" width="11.140625" style="2" customWidth="1"/>
    <col min="8" max="8" width="2.85546875" style="2" customWidth="1"/>
    <col min="9" max="9" width="3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130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9" t="s">
        <v>127</v>
      </c>
      <c r="C8" s="90"/>
      <c r="D8" s="90"/>
      <c r="E8" s="90"/>
      <c r="F8" s="90"/>
      <c r="G8" s="90"/>
      <c r="H8" s="91"/>
      <c r="I8" s="1"/>
    </row>
    <row r="9" spans="1:9" ht="39" customHeight="1" x14ac:dyDescent="0.25">
      <c r="A9" s="1"/>
      <c r="B9" s="38" t="s">
        <v>89</v>
      </c>
      <c r="C9" s="38" t="s">
        <v>0</v>
      </c>
      <c r="D9" s="38" t="s">
        <v>19</v>
      </c>
      <c r="E9" s="18" t="s">
        <v>1</v>
      </c>
      <c r="F9" s="18" t="s">
        <v>21</v>
      </c>
      <c r="G9" s="18" t="s">
        <v>90</v>
      </c>
      <c r="H9" s="37"/>
      <c r="I9" s="1"/>
    </row>
    <row r="10" spans="1:9" ht="26.25" x14ac:dyDescent="0.25">
      <c r="A10" s="1"/>
      <c r="B10" s="63" t="s">
        <v>133</v>
      </c>
      <c r="C10" s="64">
        <v>75</v>
      </c>
      <c r="D10" s="11">
        <v>244283</v>
      </c>
      <c r="E10" s="11">
        <f>D10/C10</f>
        <v>3257.1066666666666</v>
      </c>
      <c r="F10" s="11">
        <v>0</v>
      </c>
      <c r="G10" s="11">
        <v>0</v>
      </c>
      <c r="H10" s="22" t="s">
        <v>2</v>
      </c>
      <c r="I10" s="1"/>
    </row>
    <row r="11" spans="1:9" x14ac:dyDescent="0.25">
      <c r="A11" s="1"/>
      <c r="B11" s="63" t="s">
        <v>134</v>
      </c>
      <c r="C11" s="64">
        <v>75</v>
      </c>
      <c r="D11" s="11">
        <v>20000</v>
      </c>
      <c r="E11" s="11">
        <f t="shared" ref="E11" si="0">D11/C11</f>
        <v>266.66666666666669</v>
      </c>
      <c r="F11" s="11">
        <v>0</v>
      </c>
      <c r="G11" s="11">
        <v>0</v>
      </c>
      <c r="H11" s="22" t="s">
        <v>2</v>
      </c>
      <c r="I11" s="1"/>
    </row>
    <row r="12" spans="1:9" x14ac:dyDescent="0.25">
      <c r="A12" s="1"/>
      <c r="B12" s="89" t="s">
        <v>131</v>
      </c>
      <c r="C12" s="90"/>
      <c r="D12" s="91"/>
      <c r="E12" s="20">
        <f>SUM(E10:E11)</f>
        <v>3523.7733333333331</v>
      </c>
      <c r="F12" s="20">
        <f>SUM(F10:F11)</f>
        <v>0</v>
      </c>
      <c r="G12" s="20">
        <f>SUM(G10:G11)</f>
        <v>0</v>
      </c>
      <c r="H12" s="21" t="s">
        <v>2</v>
      </c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password="DFE9" sheet="1" objects="1" scenarios="1"/>
  <mergeCells count="3">
    <mergeCell ref="B3:H4"/>
    <mergeCell ref="B8:H8"/>
    <mergeCell ref="B12:D12"/>
  </mergeCells>
  <pageMargins left="0.76041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3" style="2" customWidth="1"/>
    <col min="3" max="3" width="3.7109375" style="2" hidden="1" customWidth="1"/>
    <col min="4" max="4" width="15.42578125" style="2" customWidth="1"/>
    <col min="5" max="5" width="3.28515625" style="2" customWidth="1"/>
    <col min="6" max="6" width="18" style="2" customWidth="1"/>
    <col min="7" max="7" width="3.28515625" style="2" customWidth="1"/>
    <col min="8" max="8" width="5.14062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7" t="s">
        <v>121</v>
      </c>
      <c r="C3" s="87"/>
      <c r="D3" s="87"/>
      <c r="E3" s="87"/>
      <c r="F3" s="87"/>
      <c r="G3" s="87"/>
      <c r="H3" s="1"/>
    </row>
    <row r="4" spans="1:8" ht="15" customHeight="1" x14ac:dyDescent="0.25">
      <c r="A4" s="1"/>
      <c r="B4" s="87"/>
      <c r="C4" s="87"/>
      <c r="D4" s="87"/>
      <c r="E4" s="87"/>
      <c r="F4" s="87"/>
      <c r="G4" s="87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9" t="s">
        <v>39</v>
      </c>
      <c r="C8" s="40"/>
      <c r="D8" s="40"/>
      <c r="E8" s="40"/>
      <c r="F8" s="40"/>
      <c r="G8" s="41"/>
      <c r="H8" s="1"/>
    </row>
    <row r="9" spans="1:8" ht="15" customHeight="1" x14ac:dyDescent="0.25">
      <c r="A9" s="1"/>
      <c r="B9" s="29" t="s">
        <v>34</v>
      </c>
      <c r="C9" s="37"/>
      <c r="D9" s="29" t="s">
        <v>21</v>
      </c>
      <c r="E9" s="37"/>
      <c r="F9" s="29" t="s">
        <v>110</v>
      </c>
      <c r="G9" s="37"/>
      <c r="H9" s="1"/>
    </row>
    <row r="10" spans="1:8" x14ac:dyDescent="0.25">
      <c r="A10" s="1"/>
      <c r="B10" s="58" t="s">
        <v>127</v>
      </c>
      <c r="C10" s="59"/>
      <c r="D10" s="60">
        <f>'Fane 8. Anlægsprojekter'!F12</f>
        <v>0</v>
      </c>
      <c r="E10" s="22" t="s">
        <v>2</v>
      </c>
      <c r="F10" s="11">
        <f>SUM('Fane 8. Anlægsprojekter'!E12,'Fane 8. Anlægsprojekter'!G12)</f>
        <v>3523.7733333333331</v>
      </c>
      <c r="G10" s="22" t="s">
        <v>2</v>
      </c>
      <c r="H10" s="1"/>
    </row>
    <row r="11" spans="1:8" x14ac:dyDescent="0.25">
      <c r="A11" s="1"/>
      <c r="B11" s="39" t="s">
        <v>69</v>
      </c>
      <c r="C11" s="41"/>
      <c r="D11" s="20">
        <f>SUM(D10:D10)</f>
        <v>0</v>
      </c>
      <c r="E11" s="21" t="s">
        <v>2</v>
      </c>
      <c r="F11" s="20">
        <f>SUM(F10:F10)</f>
        <v>3523.7733333333331</v>
      </c>
      <c r="G11" s="21" t="s">
        <v>2</v>
      </c>
      <c r="H11" s="1"/>
    </row>
    <row r="12" spans="1:8" x14ac:dyDescent="0.25">
      <c r="A12" s="1"/>
      <c r="B12" s="39" t="s">
        <v>70</v>
      </c>
      <c r="C12" s="41"/>
      <c r="D12" s="20">
        <f>D11*(1+Prisudvikling2019)</f>
        <v>0</v>
      </c>
      <c r="E12" s="21" t="s">
        <v>2</v>
      </c>
      <c r="F12" s="20">
        <f>F11*(1+Prisudvikling2019)</f>
        <v>3583.3251026666662</v>
      </c>
      <c r="G12" s="21" t="s">
        <v>2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sheetProtection password="DFE9" sheet="1" objects="1" scenarios="1"/>
  <mergeCells count="1">
    <mergeCell ref="B3:G4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5.42578125" style="2" hidden="1" customWidth="1"/>
    <col min="4" max="4" width="16.5703125" style="2" customWidth="1"/>
    <col min="5" max="5" width="3.28515625" style="2" customWidth="1"/>
    <col min="6" max="6" width="17.28515625" style="2" customWidth="1"/>
    <col min="7" max="7" width="3.28515625" style="2" customWidth="1"/>
    <col min="8" max="8" width="5.14062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2" t="s">
        <v>141</v>
      </c>
      <c r="C3" s="92"/>
      <c r="D3" s="92"/>
      <c r="E3" s="92"/>
      <c r="F3" s="92"/>
      <c r="G3" s="92"/>
      <c r="H3" s="1"/>
    </row>
    <row r="4" spans="1:8" ht="25.5" customHeight="1" x14ac:dyDescent="0.25">
      <c r="A4" s="1"/>
      <c r="B4" s="92"/>
      <c r="C4" s="92"/>
      <c r="D4" s="92"/>
      <c r="E4" s="92"/>
      <c r="F4" s="92"/>
      <c r="G4" s="92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9" t="s">
        <v>35</v>
      </c>
      <c r="C8" s="40"/>
      <c r="D8" s="40"/>
      <c r="E8" s="40"/>
      <c r="F8" s="40"/>
      <c r="G8" s="41"/>
      <c r="H8" s="1"/>
    </row>
    <row r="9" spans="1:8" ht="15" customHeight="1" x14ac:dyDescent="0.25">
      <c r="A9" s="1"/>
      <c r="B9" s="29" t="s">
        <v>36</v>
      </c>
      <c r="C9" s="30"/>
      <c r="D9" s="29" t="s">
        <v>21</v>
      </c>
      <c r="E9" s="37"/>
      <c r="F9" s="29" t="s">
        <v>110</v>
      </c>
      <c r="G9" s="37"/>
      <c r="H9" s="1"/>
    </row>
    <row r="10" spans="1:8" x14ac:dyDescent="0.25">
      <c r="A10" s="1"/>
      <c r="B10" s="58" t="s">
        <v>140</v>
      </c>
      <c r="C10" s="65"/>
      <c r="D10" s="11">
        <v>0</v>
      </c>
      <c r="E10" s="22" t="s">
        <v>2</v>
      </c>
      <c r="F10" s="11">
        <v>0</v>
      </c>
      <c r="G10" s="22" t="s">
        <v>2</v>
      </c>
      <c r="H10" s="1"/>
    </row>
    <row r="11" spans="1:8" x14ac:dyDescent="0.25">
      <c r="A11" s="1"/>
      <c r="B11" s="39" t="s">
        <v>71</v>
      </c>
      <c r="C11" s="41"/>
      <c r="D11" s="20">
        <f>SUM(D10:D10)</f>
        <v>0</v>
      </c>
      <c r="E11" s="21" t="s">
        <v>2</v>
      </c>
      <c r="F11" s="20">
        <f>SUM(F10:F10)</f>
        <v>0</v>
      </c>
      <c r="G11" s="21" t="s">
        <v>2</v>
      </c>
      <c r="H11" s="1"/>
    </row>
    <row r="12" spans="1:8" x14ac:dyDescent="0.25">
      <c r="A12" s="1"/>
      <c r="B12" s="39" t="s">
        <v>72</v>
      </c>
      <c r="C12" s="41"/>
      <c r="D12" s="20">
        <f>D11*(1+Prisudvikling2019)</f>
        <v>0</v>
      </c>
      <c r="E12" s="21" t="s">
        <v>2</v>
      </c>
      <c r="F12" s="20">
        <f>F11*(1+Prisudvikling2019)</f>
        <v>0</v>
      </c>
      <c r="G12" s="21" t="s">
        <v>2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sheetProtection password="DFE9" sheet="1" objects="1" scenarios="1"/>
  <mergeCells count="1">
    <mergeCell ref="B3:G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H49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85546875" style="2" customWidth="1"/>
    <col min="3" max="3" width="12" style="2" customWidth="1"/>
    <col min="4" max="4" width="3.28515625" style="2" customWidth="1"/>
    <col min="5" max="5" width="4.5703125" style="2" customWidth="1"/>
    <col min="6" max="6" width="7.28515625" style="2" customWidth="1"/>
    <col min="7" max="7" width="5.140625" style="2" hidden="1" customWidth="1"/>
    <col min="8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2" t="s">
        <v>142</v>
      </c>
      <c r="C3" s="92"/>
      <c r="D3" s="92"/>
      <c r="E3" s="92"/>
      <c r="F3" s="92"/>
      <c r="G3" s="1"/>
      <c r="H3" s="1"/>
    </row>
    <row r="4" spans="1:8" ht="25.5" customHeight="1" x14ac:dyDescent="0.25">
      <c r="A4" s="1"/>
      <c r="B4" s="92"/>
      <c r="C4" s="92"/>
      <c r="D4" s="92"/>
      <c r="E4" s="92"/>
      <c r="F4" s="92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9" t="s">
        <v>27</v>
      </c>
      <c r="C8" s="40"/>
      <c r="D8" s="40"/>
      <c r="E8" s="40"/>
      <c r="F8" s="41"/>
      <c r="G8" s="41"/>
      <c r="H8" s="1"/>
    </row>
    <row r="9" spans="1:8" x14ac:dyDescent="0.25">
      <c r="A9" s="1"/>
      <c r="B9" s="42" t="s">
        <v>44</v>
      </c>
      <c r="C9" s="43"/>
      <c r="D9" s="43"/>
      <c r="E9" s="44"/>
      <c r="F9" s="61">
        <v>1.7500000000000002E-2</v>
      </c>
      <c r="G9" s="62"/>
      <c r="H9" s="1"/>
    </row>
    <row r="10" spans="1:8" x14ac:dyDescent="0.25">
      <c r="A10" s="1"/>
      <c r="B10" s="42" t="s">
        <v>45</v>
      </c>
      <c r="C10" s="43"/>
      <c r="D10" s="43"/>
      <c r="E10" s="44"/>
      <c r="F10" s="61">
        <v>1.6899999999999998E-2</v>
      </c>
      <c r="G10" s="62"/>
      <c r="H10" s="1"/>
    </row>
    <row r="11" spans="1:8" x14ac:dyDescent="0.25">
      <c r="A11" s="1"/>
      <c r="B11" s="39"/>
      <c r="C11" s="40"/>
      <c r="D11" s="40"/>
      <c r="E11" s="40"/>
      <c r="F11" s="41"/>
      <c r="G11" s="4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39" t="s">
        <v>109</v>
      </c>
      <c r="C13" s="40"/>
      <c r="D13" s="40"/>
      <c r="E13" s="40"/>
      <c r="F13" s="41"/>
      <c r="G13" s="41"/>
      <c r="H13" s="1"/>
    </row>
    <row r="14" spans="1:8" x14ac:dyDescent="0.25">
      <c r="A14" s="1"/>
      <c r="B14" s="42" t="s">
        <v>13</v>
      </c>
      <c r="C14" s="43"/>
      <c r="D14" s="43"/>
      <c r="E14" s="44"/>
      <c r="F14" s="61">
        <v>1.0542738324390894E-2</v>
      </c>
      <c r="G14" s="62"/>
      <c r="H14" s="1"/>
    </row>
    <row r="15" spans="1:8" x14ac:dyDescent="0.25">
      <c r="A15" s="1"/>
      <c r="B15" s="39"/>
      <c r="C15" s="40"/>
      <c r="D15" s="40"/>
      <c r="E15" s="40"/>
      <c r="F15" s="41"/>
      <c r="G15" s="4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DFE9" sheet="1" objects="1" scenarios="1"/>
  <mergeCells count="1">
    <mergeCell ref="B3:F4"/>
  </mergeCells>
  <pageMargins left="0.8645833333333333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7</vt:i4>
      </vt:variant>
    </vt:vector>
  </HeadingPairs>
  <TitlesOfParts>
    <vt:vector size="21" baseType="lpstr">
      <vt:lpstr>1. Forside</vt:lpstr>
      <vt:lpstr>Fane 2.1. Økonomisk ramme 2019</vt:lpstr>
      <vt:lpstr>Fane 2.2. Økonomisk ramme 2020</vt:lpstr>
      <vt:lpstr>Fane 2.3. Økonomisk ramme 2021</vt:lpstr>
      <vt:lpstr>Fane 2.4. Økonomisk ramme 2022</vt:lpstr>
      <vt:lpstr>Fane 3. Omkostninger i ØR2018</vt:lpstr>
      <vt:lpstr>Fane 4. Ikke-påvirkelige omk.</vt:lpstr>
      <vt:lpstr>Fane 5. Generelt eff. krav</vt:lpstr>
      <vt:lpstr>Fane 6. Hist. over el. underdæk</vt:lpstr>
      <vt:lpstr>Fane 7. Kontrol af ØR2017</vt:lpstr>
      <vt:lpstr>Fane 8. Anlægsprojekter</vt:lpstr>
      <vt:lpstr>Fane 9. Tillæg</vt:lpstr>
      <vt:lpstr>Fane 10. Bortfald</vt:lpstr>
      <vt:lpstr>Fane 11. Nøgletal</vt:lpstr>
      <vt:lpstr>GenereltKravAnlæg2018</vt:lpstr>
      <vt:lpstr>GenereltKravAnlæg2019</vt:lpstr>
      <vt:lpstr>GenereltKravDrift2018</vt:lpstr>
      <vt:lpstr>GenereltKravDrift2019</vt:lpstr>
      <vt:lpstr>IndividueltKrav</vt:lpstr>
      <vt:lpstr>Prisudvikling2018</vt:lpstr>
      <vt:lpstr>Prisudvikling2019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2018-08-27T13:24:15Z</dcterms:modified>
</cp:coreProperties>
</file>