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C20" i="2" l="1"/>
  <c r="C21" i="2" l="1"/>
  <c r="C22" i="2" s="1"/>
  <c r="E22" i="2" s="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5" i="2"/>
  <c r="G12" i="34" l="1"/>
  <c r="C24" i="22" s="1"/>
  <c r="E24" i="22" s="1"/>
  <c r="G10" i="30" l="1"/>
  <c r="G12" i="30"/>
  <c r="G11" i="11" l="1"/>
  <c r="F11" i="11"/>
  <c r="D10" i="20" s="1"/>
  <c r="C35" i="2" l="1"/>
  <c r="C17" i="23" l="1"/>
  <c r="E17" i="23" s="1"/>
  <c r="C18" i="22" l="1"/>
  <c r="E18" i="22" s="1"/>
  <c r="C18" i="15"/>
  <c r="E18" i="15" s="1"/>
  <c r="C26" i="2"/>
  <c r="E26" i="2" s="1"/>
  <c r="G13" i="27"/>
  <c r="D13" i="20" l="1"/>
  <c r="F11" i="21"/>
  <c r="F12" i="21" s="1"/>
  <c r="C13" i="2" s="1"/>
  <c r="D11" i="21"/>
  <c r="D12" i="21" s="1"/>
  <c r="C12" i="2" s="1"/>
  <c r="C9" i="2"/>
  <c r="E14" i="19"/>
  <c r="E15" i="19" s="1"/>
  <c r="C28" i="2" l="1"/>
  <c r="C30" i="2" s="1"/>
  <c r="E30" i="2" s="1"/>
  <c r="C20" i="22"/>
  <c r="C22" i="22" s="1"/>
  <c r="E22" i="22" s="1"/>
  <c r="C19" i="23"/>
  <c r="C20" i="15"/>
  <c r="C22" i="15" l="1"/>
  <c r="E22" i="15" s="1"/>
  <c r="C21" i="23"/>
  <c r="E21" i="23" s="1"/>
  <c r="G11" i="10"/>
  <c r="E35" i="2" l="1"/>
  <c r="G13" i="10"/>
  <c r="C24" i="15" s="1"/>
  <c r="E24" i="15" l="1"/>
  <c r="D14" i="20"/>
  <c r="C10" i="2" s="1"/>
  <c r="C16" i="2" s="1"/>
  <c r="C12" i="15" l="1"/>
  <c r="C12" i="22" s="1"/>
  <c r="C11" i="23" s="1"/>
  <c r="E11" i="11" l="1"/>
  <c r="F10" i="20" s="1"/>
  <c r="F13" i="20" s="1"/>
  <c r="F14" i="20" s="1"/>
  <c r="C11" i="2" s="1"/>
  <c r="C17" i="2" s="1"/>
  <c r="C37" i="2"/>
  <c r="E37" i="2" s="1"/>
  <c r="C13" i="15" l="1"/>
  <c r="C13" i="22" s="1"/>
  <c r="C12" i="23" s="1"/>
  <c r="C14" i="2"/>
  <c r="C15" i="2" s="1"/>
  <c r="C18" i="2" l="1"/>
  <c r="E18" i="2" s="1"/>
  <c r="E38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<sst xmlns="http://schemas.openxmlformats.org/spreadsheetml/2006/main" count="335" uniqueCount="148">
  <si>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</si>
  <si>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</si>
  <si>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</si>
  <si>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</si>
  <si>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</si>
  <si>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</si>
  <si>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</si>
  <si>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</si>
  <si>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</si>
  <si>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</si>
  <si>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</si>
  <si>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</si>
  <si>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</si>
  <si>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</si>
  <si>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</si>
  <si>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</si>
  <si>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</si>
  <si>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</si>
  <si>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</si>
  <si>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</si>
  <si>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</si>
  <si>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</si>
  <si>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</si>
  <si>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</si>
  <si>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</si>
  <si>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</si>
  <si>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</si>
  <si>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</si>
  <si>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</si>
  <si>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</si>
  <si>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</si>
  <si>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</si>
  <si>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</si>
  <si>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</si>
  <si>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</si>
  <si>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</si>
  <si>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</si>
  <si>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</si>
  <si>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</si>
  <si>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</si>
  <si>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</si>
  <si>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</si>
  <si>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</si>
  <si>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</si>
  <si>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</si>
  <si>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</si>
  <si>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</si>
  <si>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</si>
  <si>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</si>
  <si>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</si>
  <si>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</si>
  <si>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</si>
  <si>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</si>
  <si>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</si>
  <si>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</si>
  <si>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</si>
  <si>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</si>
  <si>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</si>
  <si>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</si>
  <si>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</si>
  <si>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</si>
  <si>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</si>
  <si>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</si>
  <si>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</si>
  <si>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</si>
  <si>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</si>
  <si>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</si>
  <si>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</si>
  <si>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</si>
  <si>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</si>
  <si>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</si>
  <si>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</si>
  <si>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</si>
  <si>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</si>
  <si>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</si>
  <si>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</si>
  <si>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</si>
  <si>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</si>
  <si>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</si>
  <si>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</si>
  <si>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</si>
  <si>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</si>
  <si>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</si>
  <si>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</si>
  <si>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</si>
  <si>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</si>
  <si>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</si>
  <si>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</si>
  <si>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</si>
  <si>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</si>
  <si>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</si>
  <si>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</si>
  <si>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</si>
  <si>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</si>
  <si>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</si>
  <si>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</si>
  <si>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</si>
  <si>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</si>
  <si>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</si>
  <si>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</si>
  <si>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</si>
  <si>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</si>
  <si>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</si>
  <si>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</si>
  <si>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</si>
  <si>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</si>
  <si>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</si>
  <si>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</si>
  <si>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</si>
  <si>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</si>
  <si>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</si>
  <si>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</si>
  <si>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</si>
  <si>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</si>
  <si>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</si>
  <si>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</si>
  <si>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</si>
  <si>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</si>
  <si>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</si>
  <si>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</si>
  <si>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</si>
  <si>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</si>
  <si>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</si>
  <si>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</si>
  <si>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</si>
  <si>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</si>
  <si>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</si>
  <si>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</si>
  <si>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</si>
  <si>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</si>
  <si>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</si>
  <si>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</si>
  <si>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</si>
  <si>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</si>
  <si>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</si>
  <si>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Selskabsskatter</t>
  </si>
  <si>
    <t>Erstatninger</t>
  </si>
  <si>
    <t>Ingen anlægsprojekter</t>
  </si>
  <si>
    <t>Periodevise driftsomkostninger under prisloftsbekendtgørelsen</t>
  </si>
  <si>
    <t>Ingen bortfald eller nedsættelse</t>
  </si>
  <si>
    <t>Engangstillæg</t>
  </si>
  <si>
    <t>Tillæg som bortfalder i den økonomiske ramme for 2020</t>
  </si>
  <si>
    <t>Effektiviseringskrav</t>
  </si>
  <si>
    <t>Engangstillæg i alt</t>
  </si>
  <si>
    <t xml:space="preserve">Rottefælder </t>
  </si>
  <si>
    <t xml:space="preserve">Dokumenteret spildevandssikkerhed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</si>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</sst>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3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123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4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0" t="s">
        <v>31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30</v>
      </c>
      <c r="D14" s="80" t="s">
        <v>95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94</v>
      </c>
      <c r="D15" s="80" t="s">
        <v>97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96</v>
      </c>
      <c r="D16" s="80" t="s">
        <v>124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6</v>
      </c>
      <c r="D17" s="86" t="s">
        <v>98</v>
      </c>
      <c r="E17" s="87"/>
      <c r="F17" s="87"/>
      <c r="G17" s="88"/>
      <c r="H17" s="1"/>
      <c r="I17" s="1"/>
    </row>
    <row r="18" spans="1:9" x14ac:dyDescent="0.25">
      <c r="A18" s="1"/>
      <c r="B18" s="1"/>
      <c r="C18" s="6" t="s">
        <v>7</v>
      </c>
      <c r="D18" s="86" t="s">
        <v>99</v>
      </c>
      <c r="E18" s="87"/>
      <c r="F18" s="87"/>
      <c r="G18" s="88"/>
      <c r="H18" s="1"/>
      <c r="I18" s="1"/>
    </row>
    <row r="19" spans="1:9" x14ac:dyDescent="0.25">
      <c r="A19" s="1"/>
      <c r="B19" s="1"/>
      <c r="C19" s="6" t="s">
        <v>8</v>
      </c>
      <c r="D19" s="71" t="s">
        <v>103</v>
      </c>
      <c r="E19" s="72"/>
      <c r="F19" s="72"/>
      <c r="G19" s="73"/>
      <c r="H19" s="1"/>
      <c r="I19" s="1"/>
    </row>
    <row r="20" spans="1:9" x14ac:dyDescent="0.25">
      <c r="A20" s="1"/>
      <c r="B20" s="1"/>
      <c r="C20" s="6" t="s">
        <v>9</v>
      </c>
      <c r="D20" s="74" t="s">
        <v>100</v>
      </c>
      <c r="E20" s="75"/>
      <c r="F20" s="75"/>
      <c r="G20" s="76"/>
      <c r="H20" s="1"/>
      <c r="I20" s="1"/>
    </row>
    <row r="21" spans="1:9" x14ac:dyDescent="0.25">
      <c r="A21" s="1"/>
      <c r="B21" s="1"/>
      <c r="C21" s="6" t="s">
        <v>10</v>
      </c>
      <c r="D21" s="74" t="s">
        <v>122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11</v>
      </c>
      <c r="D22" s="74" t="s">
        <v>104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12</v>
      </c>
      <c r="D23" s="77" t="s">
        <v>28</v>
      </c>
      <c r="E23" s="78"/>
      <c r="F23" s="78"/>
      <c r="G23" s="79"/>
      <c r="H23" s="1"/>
      <c r="I23" s="1"/>
    </row>
    <row r="24" spans="1:9" x14ac:dyDescent="0.25">
      <c r="A24" s="1"/>
      <c r="B24" s="1"/>
      <c r="C24" s="6" t="s">
        <v>26</v>
      </c>
      <c r="D24" s="68" t="s">
        <v>101</v>
      </c>
      <c r="E24" s="69"/>
      <c r="F24" s="69"/>
      <c r="G24" s="70"/>
      <c r="H24" s="1"/>
      <c r="I24" s="1"/>
    </row>
    <row r="25" spans="1:9" x14ac:dyDescent="0.25">
      <c r="A25" s="1"/>
      <c r="B25" s="1"/>
      <c r="C25" s="6" t="s">
        <v>29</v>
      </c>
      <c r="D25" s="68" t="s">
        <v>54</v>
      </c>
      <c r="E25" s="69"/>
      <c r="F25" s="69"/>
      <c r="G25" s="7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4" t="s">
        <v>126</v>
      </c>
      <c r="C3" s="94"/>
      <c r="D3" s="94"/>
      <c r="E3" s="94"/>
      <c r="F3" s="94"/>
      <c r="G3" s="94"/>
      <c r="H3" s="94"/>
      <c r="I3" s="1"/>
    </row>
    <row r="4" spans="1:9" ht="15" customHeight="1" x14ac:dyDescent="0.25">
      <c r="A4" s="1"/>
      <c r="B4" s="94"/>
      <c r="C4" s="94"/>
      <c r="D4" s="94"/>
      <c r="E4" s="94"/>
      <c r="F4" s="94"/>
      <c r="G4" s="94"/>
      <c r="H4" s="9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116</v>
      </c>
      <c r="C8" s="92"/>
      <c r="D8" s="92"/>
      <c r="E8" s="92"/>
      <c r="F8" s="92"/>
      <c r="G8" s="92"/>
      <c r="H8" s="93"/>
      <c r="I8" s="1"/>
    </row>
    <row r="9" spans="1:9" x14ac:dyDescent="0.25">
      <c r="A9" s="1"/>
      <c r="B9" s="101" t="s">
        <v>105</v>
      </c>
      <c r="C9" s="102"/>
      <c r="D9" s="103"/>
      <c r="E9" s="11">
        <v>70711537.395326674</v>
      </c>
      <c r="F9" s="22" t="s">
        <v>2</v>
      </c>
      <c r="G9" s="19"/>
      <c r="H9" s="27"/>
      <c r="I9" s="1"/>
    </row>
    <row r="10" spans="1:9" x14ac:dyDescent="0.25">
      <c r="A10" s="1"/>
      <c r="B10" s="101" t="s">
        <v>106</v>
      </c>
      <c r="C10" s="102"/>
      <c r="D10" s="103"/>
      <c r="E10" s="11">
        <v>67367531</v>
      </c>
      <c r="F10" s="22" t="s">
        <v>2</v>
      </c>
      <c r="G10" s="14"/>
      <c r="H10" s="28"/>
      <c r="I10" s="1"/>
    </row>
    <row r="11" spans="1:9" x14ac:dyDescent="0.25">
      <c r="A11" s="1"/>
      <c r="B11" s="101" t="s">
        <v>112</v>
      </c>
      <c r="C11" s="102"/>
      <c r="D11" s="103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107</v>
      </c>
      <c r="C12" s="44"/>
      <c r="D12" s="45"/>
      <c r="E12" s="17">
        <f>E9-(E10-E11)</f>
        <v>3344006.395326674</v>
      </c>
      <c r="F12" s="25" t="s">
        <v>2</v>
      </c>
      <c r="G12" s="17">
        <f>E12</f>
        <v>3344006.395326674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1" t="s">
        <v>117</v>
      </c>
      <c r="C17" s="92"/>
      <c r="D17" s="92"/>
      <c r="E17" s="92"/>
      <c r="F17" s="92"/>
      <c r="G17" s="92"/>
      <c r="H17" s="93"/>
      <c r="I17" s="1"/>
    </row>
    <row r="18" spans="1:9" x14ac:dyDescent="0.25">
      <c r="A18" s="1"/>
      <c r="B18" s="104" t="s">
        <v>118</v>
      </c>
      <c r="C18" s="105"/>
      <c r="D18" s="106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4" t="s">
        <v>113</v>
      </c>
      <c r="C19" s="105"/>
      <c r="D19" s="106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4" t="s">
        <v>119</v>
      </c>
      <c r="C20" s="105"/>
      <c r="D20" s="106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1" t="s">
        <v>114</v>
      </c>
      <c r="C21" s="92"/>
      <c r="D21" s="92"/>
      <c r="E21" s="92"/>
      <c r="F21" s="93"/>
      <c r="G21" s="20">
        <f>E20</f>
        <v>0</v>
      </c>
      <c r="H21" s="21" t="s">
        <v>2</v>
      </c>
      <c r="I21" s="1"/>
    </row>
    <row r="22" spans="1:9" x14ac:dyDescent="0.25">
      <c r="A22" s="1"/>
      <c r="B22" s="91" t="s">
        <v>115</v>
      </c>
      <c r="C22" s="92"/>
      <c r="D22" s="92"/>
      <c r="E22" s="92"/>
      <c r="F22" s="93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130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127</v>
      </c>
      <c r="C8" s="92"/>
      <c r="D8" s="92"/>
      <c r="E8" s="92"/>
      <c r="F8" s="92"/>
      <c r="G8" s="92"/>
      <c r="H8" s="93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59" t="s">
        <v>137</v>
      </c>
      <c r="C10" s="60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1" t="s">
        <v>131</v>
      </c>
      <c r="C11" s="92"/>
      <c r="D11" s="93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121</v>
      </c>
      <c r="C3" s="89"/>
      <c r="D3" s="89"/>
      <c r="E3" s="89"/>
      <c r="F3" s="89"/>
      <c r="G3" s="89"/>
      <c r="H3" s="1"/>
    </row>
    <row r="4" spans="1:8" ht="1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127</v>
      </c>
      <c r="C10" s="55"/>
      <c r="D10" s="56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61" t="s">
        <v>144</v>
      </c>
      <c r="C11" s="62"/>
      <c r="D11" s="56">
        <v>697674</v>
      </c>
      <c r="E11" s="22" t="s">
        <v>2</v>
      </c>
      <c r="F11" s="11">
        <v>273343</v>
      </c>
      <c r="G11" s="22" t="s">
        <v>2</v>
      </c>
      <c r="H11" s="1"/>
    </row>
    <row r="12" spans="1:8" x14ac:dyDescent="0.25">
      <c r="A12" s="1"/>
      <c r="B12" s="54" t="s">
        <v>145</v>
      </c>
      <c r="C12" s="55"/>
      <c r="D12" s="56">
        <v>26025</v>
      </c>
      <c r="E12" s="22" t="s">
        <v>2</v>
      </c>
      <c r="F12" s="11">
        <v>0</v>
      </c>
      <c r="G12" s="22" t="s">
        <v>2</v>
      </c>
      <c r="H12" s="1"/>
    </row>
    <row r="13" spans="1:8" x14ac:dyDescent="0.25">
      <c r="A13" s="1"/>
      <c r="B13" s="39" t="s">
        <v>69</v>
      </c>
      <c r="C13" s="41"/>
      <c r="D13" s="20">
        <f>SUM(D10:D12)</f>
        <v>723699</v>
      </c>
      <c r="E13" s="21" t="s">
        <v>2</v>
      </c>
      <c r="F13" s="20">
        <f>SUM(F10:F12)</f>
        <v>273343</v>
      </c>
      <c r="G13" s="21" t="s">
        <v>2</v>
      </c>
      <c r="H13" s="1"/>
    </row>
    <row r="14" spans="1:8" x14ac:dyDescent="0.25">
      <c r="A14" s="1"/>
      <c r="B14" s="39" t="s">
        <v>70</v>
      </c>
      <c r="C14" s="41"/>
      <c r="D14" s="20">
        <f>D13*(1+Prisudvikling2019)</f>
        <v>735929.51309999998</v>
      </c>
      <c r="E14" s="21" t="s">
        <v>2</v>
      </c>
      <c r="F14" s="20">
        <f>F13*(1+Prisudvikling2019)</f>
        <v>277962.49669999996</v>
      </c>
      <c r="G14" s="21" t="s">
        <v>2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4" t="s">
        <v>146</v>
      </c>
      <c r="C3" s="94"/>
      <c r="D3" s="94"/>
      <c r="E3" s="94"/>
      <c r="F3" s="94"/>
      <c r="G3" s="94"/>
      <c r="H3" s="1"/>
    </row>
    <row r="4" spans="1:8" ht="25.5" customHeight="1" x14ac:dyDescent="0.25">
      <c r="A4" s="1"/>
      <c r="B4" s="94"/>
      <c r="C4" s="94"/>
      <c r="D4" s="94"/>
      <c r="E4" s="94"/>
      <c r="F4" s="94"/>
      <c r="G4" s="9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139</v>
      </c>
      <c r="C10" s="63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4" t="s">
        <v>147</v>
      </c>
      <c r="C3" s="94"/>
      <c r="D3" s="94"/>
      <c r="E3" s="94"/>
      <c r="F3" s="94"/>
      <c r="G3" s="1"/>
      <c r="H3" s="1"/>
    </row>
    <row r="4" spans="1:8" ht="25.5" customHeight="1" x14ac:dyDescent="0.25">
      <c r="A4" s="1"/>
      <c r="B4" s="94"/>
      <c r="C4" s="94"/>
      <c r="D4" s="94"/>
      <c r="E4" s="94"/>
      <c r="F4" s="9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4" t="s">
        <v>44</v>
      </c>
      <c r="C9" s="65"/>
      <c r="D9" s="65"/>
      <c r="E9" s="66"/>
      <c r="F9" s="57">
        <v>1.7500000000000002E-2</v>
      </c>
      <c r="G9" s="58"/>
      <c r="H9" s="1"/>
    </row>
    <row r="10" spans="1:8" x14ac:dyDescent="0.25">
      <c r="A10" s="1"/>
      <c r="B10" s="64" t="s">
        <v>45</v>
      </c>
      <c r="C10" s="65"/>
      <c r="D10" s="65"/>
      <c r="E10" s="66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4" t="s">
        <v>13</v>
      </c>
      <c r="C14" s="65"/>
      <c r="D14" s="65"/>
      <c r="E14" s="66"/>
      <c r="F14" s="57">
        <v>0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9" t="s">
        <v>41</v>
      </c>
      <c r="C3" s="89"/>
      <c r="D3" s="89"/>
      <c r="E3" s="89"/>
      <c r="F3" s="89"/>
      <c r="G3" s="1"/>
      <c r="I3" s="36"/>
    </row>
    <row r="4" spans="1:9" ht="15" customHeight="1" x14ac:dyDescent="0.25">
      <c r="A4" s="1"/>
      <c r="B4" s="89"/>
      <c r="C4" s="89"/>
      <c r="D4" s="89"/>
      <c r="E4" s="89"/>
      <c r="F4" s="89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7" t="s">
        <v>49</v>
      </c>
      <c r="C9" s="7">
        <f>'Fane 3. Omkostninger i ØR2018'!G13</f>
        <v>61815398.714518219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Tillæg'!D14</f>
        <v>735929.51309999998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Tillæg'!F14</f>
        <v>277962.49669999996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1098904.2524696889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-301707.55056470732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-865700.56462114316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62760786.861602053</v>
      </c>
      <c r="D18" s="18" t="s">
        <v>2</v>
      </c>
      <c r="E18" s="17">
        <f>C18</f>
        <v>62760786.861602053</v>
      </c>
      <c r="F18" s="18" t="s">
        <v>2</v>
      </c>
      <c r="G18" s="1"/>
    </row>
    <row r="19" spans="1:7" ht="15" customHeight="1" x14ac:dyDescent="0.25">
      <c r="A19" s="1"/>
      <c r="B19" s="39" t="s">
        <v>140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141</v>
      </c>
      <c r="C20" s="11">
        <f>7458*1.0169*1.0169</f>
        <v>7712.210479379999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142</v>
      </c>
      <c r="C21" s="11">
        <f>-C20*(IndividueltKrav+GenereltKravDrift2019)</f>
        <v>-154.24420958759998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143</v>
      </c>
      <c r="C22" s="17">
        <f>SUM(C20:C21)</f>
        <v>7557.9662697923986</v>
      </c>
      <c r="D22" s="18" t="s">
        <v>2</v>
      </c>
      <c r="E22" s="17">
        <f>C22</f>
        <v>7557.9662697923986</v>
      </c>
      <c r="F22" s="18" t="s">
        <v>2</v>
      </c>
      <c r="G22" s="1"/>
    </row>
    <row r="23" spans="1:7" ht="15" customHeight="1" x14ac:dyDescent="0.25">
      <c r="A23" s="1"/>
      <c r="B23" s="39" t="s">
        <v>74</v>
      </c>
      <c r="C23" s="40"/>
      <c r="D23" s="40"/>
      <c r="E23" s="40"/>
      <c r="F23" s="41"/>
      <c r="G23" s="1"/>
    </row>
    <row r="24" spans="1:7" ht="15" customHeight="1" x14ac:dyDescent="0.25">
      <c r="A24" s="1"/>
      <c r="B24" s="42" t="s">
        <v>138</v>
      </c>
      <c r="C24" s="11">
        <v>0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76</v>
      </c>
      <c r="C25" s="11">
        <f>-(C24*(GenereltKravDrift2018+IndividueltKrav))</f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77</v>
      </c>
      <c r="C26" s="17">
        <f>SUM(C24:C25)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ht="15" customHeight="1" x14ac:dyDescent="0.25">
      <c r="A27" s="1"/>
      <c r="B27" s="39" t="s">
        <v>22</v>
      </c>
      <c r="C27" s="40"/>
      <c r="D27" s="40"/>
      <c r="E27" s="40"/>
      <c r="F27" s="41"/>
      <c r="G27" s="1"/>
    </row>
    <row r="28" spans="1:7" ht="15" customHeight="1" x14ac:dyDescent="0.25">
      <c r="A28" s="1"/>
      <c r="B28" s="42" t="s">
        <v>22</v>
      </c>
      <c r="C28" s="11">
        <f>'Fane 4. Ikke-påvirkelige omk.'!E15</f>
        <v>21317008.899017155</v>
      </c>
      <c r="D28" s="8" t="s">
        <v>2</v>
      </c>
      <c r="E28" s="12"/>
      <c r="F28" s="13"/>
      <c r="G28" s="1"/>
    </row>
    <row r="29" spans="1:7" ht="15" customHeight="1" x14ac:dyDescent="0.25">
      <c r="A29" s="1"/>
      <c r="B29" s="42" t="s">
        <v>79</v>
      </c>
      <c r="C29" s="11">
        <v>0</v>
      </c>
      <c r="D29" s="8" t="s">
        <v>2</v>
      </c>
      <c r="E29" s="12"/>
      <c r="F29" s="13"/>
      <c r="G29" s="1"/>
    </row>
    <row r="30" spans="1:7" ht="15" customHeight="1" x14ac:dyDescent="0.25">
      <c r="A30" s="1"/>
      <c r="B30" s="29" t="s">
        <v>80</v>
      </c>
      <c r="C30" s="17">
        <f>SUM(C28:C29)</f>
        <v>21317008.899017155</v>
      </c>
      <c r="D30" s="18" t="s">
        <v>2</v>
      </c>
      <c r="E30" s="17">
        <f>C30</f>
        <v>21317008.899017155</v>
      </c>
      <c r="F30" s="18" t="s">
        <v>2</v>
      </c>
      <c r="G30" s="1"/>
    </row>
    <row r="31" spans="1:7" ht="15" customHeight="1" x14ac:dyDescent="0.25">
      <c r="A31" s="1"/>
      <c r="B31" s="39" t="s">
        <v>50</v>
      </c>
      <c r="C31" s="40"/>
      <c r="D31" s="40"/>
      <c r="E31" s="40"/>
      <c r="F31" s="41"/>
      <c r="G31" s="1"/>
    </row>
    <row r="32" spans="1:7" ht="15" customHeight="1" x14ac:dyDescent="0.25">
      <c r="A32" s="1"/>
      <c r="B32" s="67" t="s">
        <v>81</v>
      </c>
      <c r="C32" s="7">
        <v>0</v>
      </c>
      <c r="D32" s="8" t="s">
        <v>2</v>
      </c>
      <c r="E32" s="33"/>
      <c r="F32" s="13"/>
      <c r="G32" s="1"/>
    </row>
    <row r="33" spans="1:7" ht="15" customHeight="1" x14ac:dyDescent="0.25">
      <c r="A33" s="1"/>
      <c r="B33" s="67" t="s">
        <v>51</v>
      </c>
      <c r="C33" s="7">
        <v>0</v>
      </c>
      <c r="D33" s="8" t="s">
        <v>2</v>
      </c>
      <c r="E33" s="32"/>
      <c r="F33" s="13"/>
      <c r="G33" s="1"/>
    </row>
    <row r="34" spans="1:7" ht="28.5" customHeight="1" x14ac:dyDescent="0.25">
      <c r="A34" s="1"/>
      <c r="B34" s="42" t="s">
        <v>52</v>
      </c>
      <c r="C34" s="7">
        <v>104769.44508175136</v>
      </c>
      <c r="D34" s="8" t="s">
        <v>2</v>
      </c>
      <c r="E34" s="32"/>
      <c r="F34" s="13"/>
      <c r="G34" s="1"/>
    </row>
    <row r="35" spans="1:7" ht="15" customHeight="1" x14ac:dyDescent="0.25">
      <c r="A35" s="1"/>
      <c r="B35" s="43" t="s">
        <v>53</v>
      </c>
      <c r="C35" s="17">
        <f>SUM(C32:C34)</f>
        <v>104769.44508175136</v>
      </c>
      <c r="D35" s="18" t="s">
        <v>2</v>
      </c>
      <c r="E35" s="17">
        <f>C35</f>
        <v>104769.44508175136</v>
      </c>
      <c r="F35" s="18" t="s">
        <v>2</v>
      </c>
      <c r="G35" s="1"/>
    </row>
    <row r="36" spans="1:7" x14ac:dyDescent="0.25">
      <c r="A36" s="1"/>
      <c r="B36" s="39" t="s">
        <v>15</v>
      </c>
      <c r="C36" s="40"/>
      <c r="D36" s="40"/>
      <c r="E36" s="40"/>
      <c r="F36" s="41"/>
      <c r="G36" s="1"/>
    </row>
    <row r="37" spans="1:7" ht="15" customHeight="1" x14ac:dyDescent="0.25">
      <c r="A37" s="1"/>
      <c r="B37" s="43" t="s">
        <v>24</v>
      </c>
      <c r="C37" s="17">
        <f>'Fane 6. Hist. over el. underdæk'!G13</f>
        <v>2937094</v>
      </c>
      <c r="D37" s="18" t="s">
        <v>2</v>
      </c>
      <c r="E37" s="17">
        <f>C37</f>
        <v>2937094</v>
      </c>
      <c r="F37" s="18" t="s">
        <v>2</v>
      </c>
      <c r="G37" s="1"/>
    </row>
    <row r="38" spans="1:7" x14ac:dyDescent="0.25">
      <c r="A38" s="1"/>
      <c r="B38" s="39" t="s">
        <v>33</v>
      </c>
      <c r="C38" s="40"/>
      <c r="D38" s="41"/>
      <c r="E38" s="20">
        <f>SUM(E18,E22,E26,E30,E35,E37)</f>
        <v>87127217.171970755</v>
      </c>
      <c r="F38" s="21" t="s">
        <v>2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42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0" t="s">
        <v>43</v>
      </c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25</v>
      </c>
      <c r="C8" s="92"/>
      <c r="D8" s="92"/>
      <c r="E8" s="92"/>
      <c r="F8" s="93"/>
      <c r="G8" s="1"/>
    </row>
    <row r="9" spans="1:7" ht="15" customHeight="1" x14ac:dyDescent="0.25">
      <c r="A9" s="1"/>
      <c r="B9" s="67" t="s">
        <v>55</v>
      </c>
      <c r="C9" s="7">
        <f>'Fane 2.1. Økonomisk ramme 2019'!E18</f>
        <v>62760786.861602053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1060657.2979610746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-300670.28000586579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-425046.14182418608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63095727.737733074</v>
      </c>
      <c r="D14" s="18" t="s">
        <v>2</v>
      </c>
      <c r="E14" s="17">
        <f>C14</f>
        <v>63095727.737733074</v>
      </c>
      <c r="F14" s="18" t="s">
        <v>2</v>
      </c>
      <c r="G14" s="1"/>
    </row>
    <row r="15" spans="1:7" ht="15" customHeight="1" x14ac:dyDescent="0.25">
      <c r="A15" s="1"/>
      <c r="B15" s="91" t="s">
        <v>74</v>
      </c>
      <c r="C15" s="92"/>
      <c r="D15" s="92"/>
      <c r="E15" s="92"/>
      <c r="F15" s="93"/>
      <c r="G15" s="1"/>
    </row>
    <row r="16" spans="1:7" ht="15" customHeight="1" x14ac:dyDescent="0.25">
      <c r="A16" s="1"/>
      <c r="B16" s="42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1" t="s">
        <v>22</v>
      </c>
      <c r="C19" s="92"/>
      <c r="D19" s="92"/>
      <c r="E19" s="92"/>
      <c r="F19" s="93"/>
      <c r="G19" s="1"/>
    </row>
    <row r="20" spans="1:7" ht="15" customHeight="1" x14ac:dyDescent="0.25">
      <c r="A20" s="1"/>
      <c r="B20" s="42" t="s">
        <v>22</v>
      </c>
      <c r="C20" s="11">
        <f>'Fane 4. Ikke-påvirkelige omk.'!E15*(1+Prisudvikling2019)</f>
        <v>21677266.349410545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21677266.349410545</v>
      </c>
      <c r="D22" s="18" t="s">
        <v>2</v>
      </c>
      <c r="E22" s="17">
        <f>C22</f>
        <v>21677266.349410545</v>
      </c>
      <c r="F22" s="18" t="s">
        <v>2</v>
      </c>
      <c r="G22" s="1"/>
    </row>
    <row r="23" spans="1:7" x14ac:dyDescent="0.25">
      <c r="A23" s="1"/>
      <c r="B23" s="91" t="s">
        <v>15</v>
      </c>
      <c r="C23" s="92"/>
      <c r="D23" s="92"/>
      <c r="E23" s="92"/>
      <c r="F23" s="93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2937094</v>
      </c>
      <c r="D24" s="18" t="s">
        <v>2</v>
      </c>
      <c r="E24" s="17">
        <f>C24</f>
        <v>2937094</v>
      </c>
      <c r="F24" s="18" t="s">
        <v>2</v>
      </c>
      <c r="G24" s="1"/>
    </row>
    <row r="25" spans="1:7" x14ac:dyDescent="0.25">
      <c r="A25" s="1"/>
      <c r="B25" s="91" t="s">
        <v>116</v>
      </c>
      <c r="C25" s="92"/>
      <c r="D25" s="92"/>
      <c r="E25" s="92"/>
      <c r="F25" s="93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87710088.087143615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91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0" t="s">
        <v>43</v>
      </c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7" t="s">
        <v>57</v>
      </c>
      <c r="C9" s="7">
        <f>'Fane 2.2. Økonomisk ramme 2020'!E14</f>
        <v>63095727.737733074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1066317.7987676889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-299636.57558320556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-428469.02565291198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63433939.93526464</v>
      </c>
      <c r="D14" s="18" t="s">
        <v>2</v>
      </c>
      <c r="E14" s="17">
        <f>C14</f>
        <v>63433939.93526464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2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omk.'!E15*(1+Prisudvikling2019)^2</f>
        <v>22043612.150715578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22043612.150715578</v>
      </c>
      <c r="D22" s="18" t="s">
        <v>2</v>
      </c>
      <c r="E22" s="17">
        <f>C22</f>
        <v>22043612.150715578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85477552.085980222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92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0" t="s">
        <v>43</v>
      </c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7" t="s">
        <v>58</v>
      </c>
      <c r="C8" s="7">
        <f>'Fane 2.3. Økonomisk ramme 2021'!E14</f>
        <v>63433939.93526464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1072033.5849059722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-298606.42503635044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-431919.47386242397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63775447.621271841</v>
      </c>
      <c r="D13" s="18" t="s">
        <v>2</v>
      </c>
      <c r="E13" s="17">
        <f>C13</f>
        <v>63775447.621271841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2" t="s">
        <v>138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2" t="s">
        <v>22</v>
      </c>
      <c r="C19" s="11">
        <f>'Fane 4. Ikke-påvirkelige omk.'!E15*(1+Prisudvikling2019)^3</f>
        <v>22416149.196062669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2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22416149.196062669</v>
      </c>
      <c r="D21" s="18" t="s">
        <v>2</v>
      </c>
      <c r="E21" s="17">
        <f>C21</f>
        <v>22416149.196062669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86191596.817334503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4" t="s">
        <v>93</v>
      </c>
      <c r="C3" s="94"/>
      <c r="D3" s="94"/>
      <c r="E3" s="94"/>
      <c r="F3" s="94"/>
      <c r="G3" s="94"/>
      <c r="H3" s="94"/>
      <c r="I3" s="1"/>
    </row>
    <row r="4" spans="1:9" ht="29.25" customHeight="1" x14ac:dyDescent="0.25">
      <c r="A4" s="1"/>
      <c r="B4" s="94"/>
      <c r="C4" s="94"/>
      <c r="D4" s="94"/>
      <c r="E4" s="94"/>
      <c r="F4" s="94"/>
      <c r="G4" s="94"/>
      <c r="H4" s="9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4" t="s">
        <v>32</v>
      </c>
      <c r="C9" s="65"/>
      <c r="D9" s="65"/>
      <c r="E9" s="65"/>
      <c r="F9" s="66"/>
      <c r="G9" s="11">
        <v>83543665.541942731</v>
      </c>
      <c r="H9" s="22" t="s">
        <v>2</v>
      </c>
      <c r="I9" s="1"/>
    </row>
    <row r="10" spans="1:9" x14ac:dyDescent="0.25">
      <c r="A10" s="1"/>
      <c r="B10" s="46" t="s">
        <v>73</v>
      </c>
      <c r="C10" s="65"/>
      <c r="D10" s="65"/>
      <c r="E10" s="65"/>
      <c r="F10" s="66"/>
      <c r="G10" s="11">
        <v>0</v>
      </c>
      <c r="H10" s="22" t="s">
        <v>2</v>
      </c>
      <c r="I10" s="1"/>
    </row>
    <row r="11" spans="1:9" x14ac:dyDescent="0.25">
      <c r="A11" s="1"/>
      <c r="B11" s="46" t="s">
        <v>48</v>
      </c>
      <c r="C11" s="65"/>
      <c r="D11" s="65"/>
      <c r="E11" s="65"/>
      <c r="F11" s="66"/>
      <c r="G11" s="11">
        <v>21728266.827424508</v>
      </c>
      <c r="H11" s="22" t="s">
        <v>2</v>
      </c>
      <c r="I11" s="1"/>
    </row>
    <row r="12" spans="1:9" x14ac:dyDescent="0.25">
      <c r="A12" s="1"/>
      <c r="B12" s="46" t="s">
        <v>75</v>
      </c>
      <c r="C12" s="65"/>
      <c r="D12" s="65"/>
      <c r="E12" s="65"/>
      <c r="F12" s="66"/>
      <c r="G12" s="11">
        <v>0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61815398.714518219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102</v>
      </c>
      <c r="C3" s="89"/>
      <c r="D3" s="89"/>
      <c r="E3" s="89"/>
      <c r="F3" s="89"/>
      <c r="G3" s="1"/>
      <c r="H3" s="1"/>
    </row>
    <row r="4" spans="1:8" ht="1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111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5" t="s">
        <v>133</v>
      </c>
      <c r="C10" s="96"/>
      <c r="D10" s="97"/>
      <c r="E10" s="11">
        <v>48502</v>
      </c>
      <c r="F10" s="22" t="s">
        <v>2</v>
      </c>
      <c r="G10" s="1"/>
      <c r="H10" s="1"/>
    </row>
    <row r="11" spans="1:8" ht="30" customHeight="1" x14ac:dyDescent="0.25">
      <c r="A11" s="1"/>
      <c r="B11" s="98" t="s">
        <v>134</v>
      </c>
      <c r="C11" s="99"/>
      <c r="D11" s="100"/>
      <c r="E11" s="11">
        <v>18982273</v>
      </c>
      <c r="F11" s="22" t="s">
        <v>2</v>
      </c>
      <c r="G11" s="1"/>
      <c r="H11" s="1"/>
    </row>
    <row r="12" spans="1:8" x14ac:dyDescent="0.25">
      <c r="A12" s="1"/>
      <c r="B12" s="95" t="s">
        <v>135</v>
      </c>
      <c r="C12" s="96"/>
      <c r="D12" s="97"/>
      <c r="E12" s="11">
        <v>1530057</v>
      </c>
      <c r="F12" s="22" t="s">
        <v>2</v>
      </c>
      <c r="G12" s="1"/>
      <c r="H12" s="1"/>
    </row>
    <row r="13" spans="1:8" x14ac:dyDescent="0.25">
      <c r="A13" s="1"/>
      <c r="B13" s="95" t="s">
        <v>136</v>
      </c>
      <c r="C13" s="96"/>
      <c r="D13" s="97"/>
      <c r="E13" s="11">
        <v>53524</v>
      </c>
      <c r="F13" s="22" t="s">
        <v>2</v>
      </c>
      <c r="G13" s="1"/>
      <c r="H13" s="1"/>
    </row>
    <row r="14" spans="1:8" x14ac:dyDescent="0.25">
      <c r="A14" s="1"/>
      <c r="B14" s="91" t="s">
        <v>128</v>
      </c>
      <c r="C14" s="92"/>
      <c r="D14" s="93"/>
      <c r="E14" s="20">
        <f>SUM(E10:E13)</f>
        <v>20614356</v>
      </c>
      <c r="F14" s="21" t="s">
        <v>2</v>
      </c>
      <c r="G14" s="1"/>
      <c r="H14" s="1"/>
    </row>
    <row r="15" spans="1:8" x14ac:dyDescent="0.25">
      <c r="A15" s="1"/>
      <c r="B15" s="91" t="s">
        <v>129</v>
      </c>
      <c r="C15" s="92"/>
      <c r="D15" s="93"/>
      <c r="E15" s="20">
        <f>E14*(1+Prisudvikling2019)^2</f>
        <v>21317008.899017155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2:D12"/>
    <mergeCell ref="B13:D13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120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4" t="s">
        <v>82</v>
      </c>
      <c r="C9" s="65"/>
      <c r="D9" s="65"/>
      <c r="E9" s="65"/>
      <c r="F9" s="66"/>
      <c r="G9" s="52">
        <v>287559.76144740463</v>
      </c>
      <c r="H9" s="22" t="s">
        <v>2</v>
      </c>
      <c r="I9" s="1"/>
    </row>
    <row r="10" spans="1:9" x14ac:dyDescent="0.25">
      <c r="A10" s="1"/>
      <c r="B10" s="64" t="s">
        <v>83</v>
      </c>
      <c r="C10" s="65"/>
      <c r="D10" s="65"/>
      <c r="E10" s="65"/>
      <c r="F10" s="66"/>
      <c r="G10" s="52">
        <f>G9/GenereltKravDrift2018</f>
        <v>14377988.072370231</v>
      </c>
      <c r="H10" s="22" t="s">
        <v>2</v>
      </c>
      <c r="I10" s="1"/>
    </row>
    <row r="11" spans="1:9" x14ac:dyDescent="0.25">
      <c r="A11" s="1"/>
      <c r="B11" s="64" t="s">
        <v>84</v>
      </c>
      <c r="C11" s="65"/>
      <c r="D11" s="65"/>
      <c r="E11" s="65"/>
      <c r="F11" s="66"/>
      <c r="G11" s="52">
        <v>863681.68381228659</v>
      </c>
      <c r="H11" s="22" t="s">
        <v>2</v>
      </c>
      <c r="I11" s="1"/>
    </row>
    <row r="12" spans="1:9" x14ac:dyDescent="0.25">
      <c r="A12" s="1"/>
      <c r="B12" s="64" t="s">
        <v>85</v>
      </c>
      <c r="C12" s="65"/>
      <c r="D12" s="65"/>
      <c r="E12" s="65"/>
      <c r="F12" s="66"/>
      <c r="G12" s="52">
        <f>G11/GenereltKravAnlæg2018</f>
        <v>48795575.356626362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101" t="s">
        <v>87</v>
      </c>
      <c r="C17" s="102"/>
      <c r="D17" s="102"/>
      <c r="E17" s="102"/>
      <c r="F17" s="103"/>
      <c r="G17" s="53">
        <v>0.02</v>
      </c>
      <c r="H17" s="22"/>
      <c r="I17" s="1"/>
    </row>
    <row r="18" spans="1:9" x14ac:dyDescent="0.25">
      <c r="A18" s="1"/>
      <c r="B18" s="101" t="s">
        <v>86</v>
      </c>
      <c r="C18" s="102"/>
      <c r="D18" s="102"/>
      <c r="E18" s="102"/>
      <c r="F18" s="103"/>
      <c r="G18" s="53">
        <v>0.02</v>
      </c>
      <c r="H18" s="22"/>
      <c r="I18" s="1"/>
    </row>
    <row r="19" spans="1:9" x14ac:dyDescent="0.25">
      <c r="A19" s="1"/>
      <c r="B19" s="101" t="s">
        <v>88</v>
      </c>
      <c r="C19" s="102"/>
      <c r="D19" s="102"/>
      <c r="E19" s="102"/>
      <c r="F19" s="103"/>
      <c r="G19" s="53">
        <v>1.77E-2</v>
      </c>
      <c r="H19" s="22"/>
      <c r="I19" s="1"/>
    </row>
    <row r="20" spans="1:9" x14ac:dyDescent="0.25">
      <c r="A20" s="1"/>
      <c r="B20" s="101" t="s">
        <v>132</v>
      </c>
      <c r="C20" s="102"/>
      <c r="D20" s="102"/>
      <c r="E20" s="102"/>
      <c r="F20" s="103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125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4" t="s">
        <v>17</v>
      </c>
      <c r="C9" s="65"/>
      <c r="D9" s="65"/>
      <c r="E9" s="65"/>
      <c r="F9" s="66"/>
      <c r="G9" s="11">
        <v>29062136</v>
      </c>
      <c r="H9" s="22" t="s">
        <v>2</v>
      </c>
      <c r="I9" s="1"/>
    </row>
    <row r="10" spans="1:9" x14ac:dyDescent="0.25">
      <c r="A10" s="1"/>
      <c r="B10" s="64" t="s">
        <v>46</v>
      </c>
      <c r="C10" s="65"/>
      <c r="D10" s="65"/>
      <c r="E10" s="65"/>
      <c r="F10" s="66"/>
      <c r="G10" s="11">
        <v>23187948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5874188</v>
      </c>
      <c r="H11" s="26" t="s">
        <v>2</v>
      </c>
      <c r="I11" s="1"/>
    </row>
    <row r="12" spans="1:9" x14ac:dyDescent="0.25">
      <c r="A12" s="1"/>
      <c r="B12" s="64" t="s">
        <v>18</v>
      </c>
      <c r="C12" s="65"/>
      <c r="D12" s="65"/>
      <c r="E12" s="65"/>
      <c r="F12" s="66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2937094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2018-08-27T13:30:01Z</dcterms:modified>
</cp:coreProperties>
</file>