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3" i="20" l="1"/>
  <c r="G11" i="7" l="1"/>
  <c r="E11" i="11" l="1"/>
  <c r="F10" i="20" s="1"/>
  <c r="F12" i="20" s="1"/>
  <c r="F13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<sst xmlns="http://schemas.openxmlformats.org/spreadsheetml/2006/main" count="361" uniqueCount="159">
  <si>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</si>
  <si>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</si>
  <si>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</si>
  <si>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</si>
  <si>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</si>
  <si>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</si>
  <si>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</si>
  <si>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</si>
  <si>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</si>
  <si>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</si>
  <si>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</si>
  <si>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</si>
  <si>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</si>
  <si>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</si>
  <si>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</si>
  <si>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</si>
  <si>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</si>
  <si>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</si>
  <si>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</si>
  <si>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</si>
  <si>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</si>
  <si>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</si>
  <si>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</si>
  <si>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</si>
  <si>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</si>
  <si>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</si>
  <si>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</si>
  <si>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</si>
  <si>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</si>
  <si>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</si>
  <si>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</si>
  <si>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</si>
  <si>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</si>
  <si>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</si>
  <si>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</si>
  <si>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</si>
  <si>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</si>
  <si>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</si>
  <si>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</si>
  <si>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</si>
  <si>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</si>
  <si>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</si>
  <si>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</si>
  <si>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</si>
  <si>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</si>
  <si>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</si>
  <si>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</si>
  <si>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</si>
  <si>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</si>
  <si>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</si>
  <si>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</si>
  <si>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</si>
  <si>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</si>
  <si>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</si>
  <si>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</si>
  <si>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</si>
  <si>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</si>
  <si>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</si>
  <si>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</si>
  <si>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</si>
  <si>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</si>
  <si>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</si>
  <si>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</si>
  <si>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</si>
  <si>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</si>
  <si>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</si>
  <si>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</si>
  <si>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</si>
  <si>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</si>
  <si>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</si>
  <si>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</si>
  <si>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</si>
  <si>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</si>
  <si>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</si>
  <si>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</si>
  <si>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</si>
  <si>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</si>
  <si>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</si>
  <si>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</si>
  <si>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</si>
  <si>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</si>
  <si>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</si>
  <si>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</si>
  <si>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</si>
  <si>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</si>
  <si>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</si>
  <si>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</si>
  <si>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</si>
  <si>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</si>
  <si>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</si>
  <si>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</si>
  <si>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</si>
  <si>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</si>
  <si>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</si>
  <si>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</si>
  <si>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</si>
  <si>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</si>
  <si>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</si>
  <si>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</si>
  <si>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</si>
  <si>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</si>
  <si>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</si>
  <si>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</si>
  <si>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</si>
  <si>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</si>
  <si>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</si>
  <si>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</si>
  <si>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</si>
  <si>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</si>
  <si>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</si>
  <si>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</si>
  <si>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</si>
  <si>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</si>
  <si>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</si>
  <si>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</si>
  <si>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</si>
  <si>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</si>
  <si>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</si>
  <si>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</si>
  <si>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</si>
  <si>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</si>
  <si>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</si>
  <si>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</si>
  <si>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</si>
  <si>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</si>
  <si>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</si>
  <si>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</si>
  <si>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</si>
  <si>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</si>
  <si>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</si>
  <si>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</si>
  <si>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</si>
  <si>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</si>
  <si>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</si>
  <si>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</si>
  <si>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</si>
  <si>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</si>
  <si>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</si>
  <si>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</si>
  <si>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</si>
  <si>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</si>
  <si>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</si>
  <si>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</si>
  <si>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</si>
  <si>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</si>
  <si>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</si>
  <si>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</si>
  <si>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</si>
  <si>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for ledingsført vand</t>
  </si>
  <si>
    <t>Afgift til Forsyningsekretariatet</t>
  </si>
  <si>
    <t>Skatter og afgifter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</si>
  <si>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</si>
  <si>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</si>
  <si>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</si>
  <si>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</si>
  <si>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Udvidelse af forsyningsområde eller håndterede vandmængder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</si>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</sst>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8" fillId="9" borderId="1" xfId="0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103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32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31</v>
      </c>
      <c r="D14" s="78" t="s">
        <v>96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95</v>
      </c>
      <c r="D16" s="78" t="s">
        <v>132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7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8</v>
      </c>
      <c r="D18" s="87" t="s">
        <v>100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9</v>
      </c>
      <c r="D19" s="87" t="s">
        <v>99</v>
      </c>
      <c r="E19" s="88"/>
      <c r="F19" s="88"/>
      <c r="G19" s="89"/>
      <c r="H19" s="1"/>
      <c r="I19" s="1"/>
    </row>
    <row r="20" spans="1:9" x14ac:dyDescent="0.25">
      <c r="A20" s="1"/>
      <c r="B20" s="1"/>
      <c r="C20" s="6" t="s">
        <v>10</v>
      </c>
      <c r="D20" s="90" t="s">
        <v>129</v>
      </c>
      <c r="E20" s="91"/>
      <c r="F20" s="91"/>
      <c r="G20" s="92"/>
      <c r="H20" s="1"/>
      <c r="I20" s="1"/>
    </row>
    <row r="21" spans="1:9" x14ac:dyDescent="0.25">
      <c r="A21" s="1"/>
      <c r="B21" s="1"/>
      <c r="C21" s="6" t="s">
        <v>11</v>
      </c>
      <c r="D21" s="82" t="s">
        <v>101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82" t="s">
        <v>130</v>
      </c>
      <c r="E22" s="83"/>
      <c r="F22" s="83"/>
      <c r="G22" s="84"/>
      <c r="H22" s="1"/>
      <c r="I22" s="1"/>
    </row>
    <row r="23" spans="1:9" x14ac:dyDescent="0.25">
      <c r="A23" s="1"/>
      <c r="B23" s="1"/>
      <c r="C23" s="6" t="s">
        <v>13</v>
      </c>
      <c r="D23" s="82" t="s">
        <v>104</v>
      </c>
      <c r="E23" s="83"/>
      <c r="F23" s="83"/>
      <c r="G23" s="84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102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65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134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22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17</v>
      </c>
      <c r="C9" s="53"/>
      <c r="D9" s="53"/>
      <c r="E9" s="53"/>
      <c r="F9" s="54"/>
      <c r="G9" s="25">
        <v>-5341079</v>
      </c>
      <c r="H9" s="22" t="s">
        <v>3</v>
      </c>
      <c r="I9" s="1"/>
    </row>
    <row r="10" spans="1:9" x14ac:dyDescent="0.25">
      <c r="A10" s="1"/>
      <c r="B10" s="52" t="s">
        <v>55</v>
      </c>
      <c r="C10" s="53"/>
      <c r="D10" s="53"/>
      <c r="E10" s="53"/>
      <c r="F10" s="54"/>
      <c r="G10" s="25">
        <v>-4280057</v>
      </c>
      <c r="H10" s="22" t="s">
        <v>3</v>
      </c>
      <c r="I10" s="1"/>
    </row>
    <row r="11" spans="1:9" x14ac:dyDescent="0.25">
      <c r="A11" s="1"/>
      <c r="B11" s="60" t="s">
        <v>19</v>
      </c>
      <c r="C11" s="61"/>
      <c r="D11" s="61"/>
      <c r="E11" s="61"/>
      <c r="F11" s="62"/>
      <c r="G11" s="36">
        <f>G9-G10</f>
        <v>-1061022</v>
      </c>
      <c r="H11" s="29" t="s">
        <v>3</v>
      </c>
      <c r="I11" s="1"/>
    </row>
    <row r="12" spans="1:9" x14ac:dyDescent="0.25">
      <c r="A12" s="1"/>
      <c r="B12" s="52" t="s">
        <v>18</v>
      </c>
      <c r="C12" s="53"/>
      <c r="D12" s="53"/>
      <c r="E12" s="53"/>
      <c r="F12" s="54"/>
      <c r="G12" s="25">
        <v>2</v>
      </c>
      <c r="H12" s="22" t="s">
        <v>42</v>
      </c>
      <c r="I12" s="1"/>
    </row>
    <row r="13" spans="1:9" x14ac:dyDescent="0.25">
      <c r="A13" s="1"/>
      <c r="B13" s="45" t="s">
        <v>16</v>
      </c>
      <c r="C13" s="46"/>
      <c r="D13" s="46"/>
      <c r="E13" s="46"/>
      <c r="F13" s="47"/>
      <c r="G13" s="20">
        <f>IF(G12 = 0,0,G11/G12)</f>
        <v>-530511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135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105</v>
      </c>
      <c r="C9" s="100"/>
      <c r="D9" s="101"/>
      <c r="E9" s="25">
        <v>2373496.1449999996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106</v>
      </c>
      <c r="C10" s="100"/>
      <c r="D10" s="101"/>
      <c r="E10" s="25">
        <v>4150590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113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5" t="s">
        <v>107</v>
      </c>
      <c r="C12" s="106"/>
      <c r="D12" s="107"/>
      <c r="E12" s="17">
        <f>E9-(E10-E11)</f>
        <v>-1777093.8550000004</v>
      </c>
      <c r="F12" s="28" t="s">
        <v>3</v>
      </c>
      <c r="G12" s="17">
        <f>E12</f>
        <v>-1777093.8550000004</v>
      </c>
      <c r="H12" s="28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47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117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102" t="s">
        <v>114</v>
      </c>
      <c r="C18" s="103"/>
      <c r="D18" s="104"/>
      <c r="E18" s="11">
        <f>IF(E12&lt;0,E12,0)</f>
        <v>-1777093.8550000004</v>
      </c>
      <c r="F18" s="22" t="s">
        <v>3</v>
      </c>
      <c r="G18" s="14"/>
      <c r="H18" s="31"/>
      <c r="I18" s="1"/>
    </row>
    <row r="19" spans="1:9" x14ac:dyDescent="0.25">
      <c r="A19" s="1"/>
      <c r="B19" s="102" t="s">
        <v>115</v>
      </c>
      <c r="C19" s="103"/>
      <c r="D19" s="104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102" t="s">
        <v>116</v>
      </c>
      <c r="C20" s="103"/>
      <c r="D20" s="104"/>
      <c r="E20" s="11">
        <f>E18/E19</f>
        <v>-444273.46375000011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118</v>
      </c>
      <c r="C21" s="97"/>
      <c r="D21" s="97"/>
      <c r="E21" s="97"/>
      <c r="F21" s="98"/>
      <c r="G21" s="20">
        <f>E20</f>
        <v>-444273.46375000011</v>
      </c>
      <c r="H21" s="21" t="s">
        <v>3</v>
      </c>
      <c r="I21" s="1"/>
    </row>
    <row r="22" spans="1:9" x14ac:dyDescent="0.25">
      <c r="A22" s="1"/>
      <c r="B22" s="96" t="s">
        <v>119</v>
      </c>
      <c r="C22" s="97"/>
      <c r="D22" s="97"/>
      <c r="E22" s="97"/>
      <c r="F22" s="98"/>
      <c r="G22" s="20">
        <f>G21*(1+Prisudvikling2019)^4</f>
        <v>-475076.29749675415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141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142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4" t="s">
        <v>0</v>
      </c>
      <c r="C9" s="44" t="s">
        <v>1</v>
      </c>
      <c r="D9" s="44" t="s">
        <v>109</v>
      </c>
      <c r="E9" s="18" t="s">
        <v>2</v>
      </c>
      <c r="F9" s="18" t="s">
        <v>88</v>
      </c>
      <c r="G9" s="18" t="s">
        <v>89</v>
      </c>
      <c r="H9" s="41"/>
      <c r="I9" s="1"/>
    </row>
    <row r="10" spans="1:9" ht="26.25" x14ac:dyDescent="0.25">
      <c r="A10" s="1"/>
      <c r="B10" s="34" t="s">
        <v>151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143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93</v>
      </c>
      <c r="C3" s="93"/>
      <c r="D3" s="93"/>
      <c r="E3" s="93"/>
      <c r="F3" s="93"/>
      <c r="G3" s="93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9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44</v>
      </c>
      <c r="C8" s="46"/>
      <c r="D8" s="46"/>
      <c r="E8" s="46"/>
      <c r="F8" s="46"/>
      <c r="G8" s="47"/>
      <c r="H8" s="1"/>
    </row>
    <row r="9" spans="1:8" ht="15" customHeight="1" x14ac:dyDescent="0.25">
      <c r="A9" s="1"/>
      <c r="B9" s="32" t="s">
        <v>38</v>
      </c>
      <c r="C9" s="41"/>
      <c r="D9" s="32" t="s">
        <v>20</v>
      </c>
      <c r="E9" s="41"/>
      <c r="F9" s="32" t="s">
        <v>110</v>
      </c>
      <c r="G9" s="41"/>
      <c r="H9" s="1"/>
    </row>
    <row r="10" spans="1:8" x14ac:dyDescent="0.25">
      <c r="A10" s="1"/>
      <c r="B10" s="65" t="s">
        <v>142</v>
      </c>
      <c r="C10" s="66"/>
      <c r="D10" s="67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155</v>
      </c>
      <c r="C11" s="43"/>
      <c r="D11" s="35">
        <v>371413</v>
      </c>
      <c r="E11" s="22" t="s">
        <v>3</v>
      </c>
      <c r="F11" s="25">
        <v>0</v>
      </c>
      <c r="G11" s="22" t="s">
        <v>3</v>
      </c>
      <c r="H11" s="1"/>
    </row>
    <row r="12" spans="1:8" x14ac:dyDescent="0.25">
      <c r="A12" s="1"/>
      <c r="B12" s="45" t="s">
        <v>146</v>
      </c>
      <c r="C12" s="47"/>
      <c r="D12" s="20">
        <f>SUM(D10:D11)</f>
        <v>371413</v>
      </c>
      <c r="E12" s="21" t="s">
        <v>3</v>
      </c>
      <c r="F12" s="20">
        <f>SUM(F10:F11)</f>
        <v>0</v>
      </c>
      <c r="G12" s="21" t="s">
        <v>3</v>
      </c>
      <c r="H12" s="1"/>
    </row>
    <row r="13" spans="1:8" x14ac:dyDescent="0.25">
      <c r="A13" s="1"/>
      <c r="B13" s="45" t="s">
        <v>147</v>
      </c>
      <c r="C13" s="47"/>
      <c r="D13" s="20">
        <f>D12*(1+Prisudvikling2019)</f>
        <v>377689.87969999999</v>
      </c>
      <c r="E13" s="21" t="s">
        <v>3</v>
      </c>
      <c r="F13" s="20">
        <f>F12*(1+Prisudvikling2019)</f>
        <v>0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157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39</v>
      </c>
      <c r="C8" s="46"/>
      <c r="D8" s="46"/>
      <c r="E8" s="46"/>
      <c r="F8" s="47"/>
      <c r="G8" s="1"/>
    </row>
    <row r="9" spans="1:7" ht="15" customHeight="1" x14ac:dyDescent="0.25">
      <c r="A9" s="1"/>
      <c r="B9" s="32" t="s">
        <v>40</v>
      </c>
      <c r="C9" s="32" t="s">
        <v>20</v>
      </c>
      <c r="D9" s="41"/>
      <c r="E9" s="32" t="s">
        <v>110</v>
      </c>
      <c r="F9" s="41"/>
      <c r="G9" s="1"/>
    </row>
    <row r="10" spans="1:7" x14ac:dyDescent="0.25">
      <c r="A10" s="1"/>
      <c r="B10" s="27" t="s">
        <v>154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5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5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158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26</v>
      </c>
      <c r="C8" s="46"/>
      <c r="D8" s="46"/>
      <c r="E8" s="46"/>
      <c r="F8" s="47"/>
      <c r="G8" s="47"/>
      <c r="H8" s="1"/>
    </row>
    <row r="9" spans="1:8" x14ac:dyDescent="0.25">
      <c r="A9" s="1"/>
      <c r="B9" s="52" t="s">
        <v>52</v>
      </c>
      <c r="C9" s="53"/>
      <c r="D9" s="53"/>
      <c r="E9" s="54"/>
      <c r="F9" s="68">
        <v>1.2699999999999999E-2</v>
      </c>
      <c r="G9" s="69"/>
      <c r="H9" s="1"/>
    </row>
    <row r="10" spans="1:8" x14ac:dyDescent="0.25">
      <c r="A10" s="1"/>
      <c r="B10" s="52" t="s">
        <v>53</v>
      </c>
      <c r="C10" s="53"/>
      <c r="D10" s="53"/>
      <c r="E10" s="54"/>
      <c r="F10" s="68">
        <v>1.7500000000000002E-2</v>
      </c>
      <c r="G10" s="69"/>
      <c r="H10" s="1"/>
    </row>
    <row r="11" spans="1:8" x14ac:dyDescent="0.25">
      <c r="A11" s="1"/>
      <c r="B11" s="52" t="s">
        <v>54</v>
      </c>
      <c r="C11" s="53"/>
      <c r="D11" s="53"/>
      <c r="E11" s="54"/>
      <c r="F11" s="68">
        <v>1.6899999999999998E-2</v>
      </c>
      <c r="G11" s="69"/>
      <c r="H11" s="1"/>
    </row>
    <row r="12" spans="1:8" x14ac:dyDescent="0.25">
      <c r="A12" s="1"/>
      <c r="B12" s="45"/>
      <c r="C12" s="46"/>
      <c r="D12" s="46"/>
      <c r="E12" s="46"/>
      <c r="F12" s="47"/>
      <c r="G12" s="47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5" t="s">
        <v>14</v>
      </c>
      <c r="C15" s="46"/>
      <c r="D15" s="46"/>
      <c r="E15" s="46"/>
      <c r="F15" s="47"/>
      <c r="G15" s="47"/>
      <c r="H15" s="1"/>
    </row>
    <row r="16" spans="1:8" x14ac:dyDescent="0.25">
      <c r="A16" s="1"/>
      <c r="B16" s="52" t="s">
        <v>14</v>
      </c>
      <c r="C16" s="53"/>
      <c r="D16" s="53"/>
      <c r="E16" s="54"/>
      <c r="F16" s="68">
        <v>1.7000000000000001E-2</v>
      </c>
      <c r="G16" s="69"/>
      <c r="H16" s="1"/>
    </row>
    <row r="17" spans="1:8" x14ac:dyDescent="0.25">
      <c r="A17" s="1"/>
      <c r="B17" s="45"/>
      <c r="C17" s="46"/>
      <c r="D17" s="46"/>
      <c r="E17" s="46"/>
      <c r="F17" s="47"/>
      <c r="G17" s="47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29.25" customHeight="1" x14ac:dyDescent="0.25">
      <c r="A9" s="1"/>
      <c r="B9" s="48" t="s">
        <v>59</v>
      </c>
      <c r="C9" s="7">
        <f>'Fane 3. Omkostninger i ØR2018'!G13</f>
        <v>2873959.3743788428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51" t="s">
        <v>49</v>
      </c>
      <c r="C10" s="7">
        <f>'Fane 3. Omkostninger i ØR2018'!G10</f>
        <v>0</v>
      </c>
      <c r="D10" s="8"/>
      <c r="E10" s="37"/>
      <c r="F10" s="13"/>
      <c r="G10" s="1"/>
    </row>
    <row r="11" spans="1:7" x14ac:dyDescent="0.25">
      <c r="A11" s="1"/>
      <c r="B11" s="49" t="s">
        <v>50</v>
      </c>
      <c r="C11" s="11">
        <f>SUM('Fane 10. Tillæg'!D13,'Fane 10. Tillæg'!F13)</f>
        <v>377689.87969999999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41</v>
      </c>
      <c r="C13" s="11">
        <f>(C9-C10)*Prisudvikling2017+C10*Prisudvikling2018+SUM(C11:C12)*Prisudvikling2019</f>
        <v>42882.243021541297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9" t="s">
        <v>14</v>
      </c>
      <c r="C14" s="11">
        <f>-SUM(C9,C11:C13)*GenereltKrav</f>
        <v>-56007.035450706535</v>
      </c>
      <c r="D14" s="8" t="s">
        <v>3</v>
      </c>
      <c r="E14" s="15"/>
      <c r="F14" s="16"/>
      <c r="G14" s="1"/>
    </row>
    <row r="15" spans="1:7" x14ac:dyDescent="0.25">
      <c r="A15" s="1"/>
      <c r="B15" s="50" t="s">
        <v>45</v>
      </c>
      <c r="C15" s="17">
        <f>SUM(C9,C11:C14)</f>
        <v>3238524.4616496773</v>
      </c>
      <c r="D15" s="18" t="s">
        <v>3</v>
      </c>
      <c r="E15" s="17">
        <f>C15</f>
        <v>3238524.4616496773</v>
      </c>
      <c r="F15" s="18" t="s">
        <v>3</v>
      </c>
      <c r="G15" s="1"/>
    </row>
    <row r="16" spans="1:7" x14ac:dyDescent="0.25">
      <c r="A16" s="1"/>
      <c r="B16" s="45" t="s">
        <v>43</v>
      </c>
      <c r="C16" s="46"/>
      <c r="D16" s="46"/>
      <c r="E16" s="46"/>
      <c r="F16" s="47"/>
      <c r="G16" s="1"/>
    </row>
    <row r="17" spans="1:7" ht="15" customHeight="1" x14ac:dyDescent="0.25">
      <c r="A17" s="1"/>
      <c r="B17" s="49" t="s">
        <v>152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9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5" t="s">
        <v>21</v>
      </c>
      <c r="C20" s="46"/>
      <c r="D20" s="46"/>
      <c r="E20" s="46"/>
      <c r="F20" s="47"/>
      <c r="G20" s="1"/>
    </row>
    <row r="21" spans="1:7" ht="15" customHeight="1" x14ac:dyDescent="0.25">
      <c r="A21" s="1"/>
      <c r="B21" s="49" t="s">
        <v>21</v>
      </c>
      <c r="C21" s="11">
        <f>'Fane 5. Ikke-påvirkelige omk.'!E14</f>
        <v>1587660.5914300797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9" t="s">
        <v>85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86</v>
      </c>
      <c r="C23" s="17">
        <f>SUM(C21:C22)</f>
        <v>1587660.5914300797</v>
      </c>
      <c r="D23" s="18" t="s">
        <v>3</v>
      </c>
      <c r="E23" s="17">
        <f>C23</f>
        <v>1587660.5914300797</v>
      </c>
      <c r="F23" s="18" t="s">
        <v>3</v>
      </c>
      <c r="G23" s="1"/>
    </row>
    <row r="24" spans="1:7" ht="15" customHeight="1" x14ac:dyDescent="0.25">
      <c r="A24" s="1"/>
      <c r="B24" s="45" t="s">
        <v>87</v>
      </c>
      <c r="C24" s="46"/>
      <c r="D24" s="46"/>
      <c r="E24" s="46"/>
      <c r="F24" s="47"/>
      <c r="G24" s="1"/>
    </row>
    <row r="25" spans="1:7" ht="15" customHeight="1" x14ac:dyDescent="0.25">
      <c r="A25" s="1"/>
      <c r="B25" s="48" t="s">
        <v>61</v>
      </c>
      <c r="C25" s="70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8" t="s">
        <v>62</v>
      </c>
      <c r="C26" s="70">
        <v>0</v>
      </c>
      <c r="D26" s="8" t="s">
        <v>3</v>
      </c>
      <c r="E26" s="38"/>
      <c r="F26" s="13"/>
      <c r="G26" s="1"/>
    </row>
    <row r="27" spans="1:7" ht="28.5" customHeight="1" x14ac:dyDescent="0.25">
      <c r="A27" s="1"/>
      <c r="B27" s="49" t="s">
        <v>63</v>
      </c>
      <c r="C27" s="70">
        <v>7856.145761167144</v>
      </c>
      <c r="D27" s="8" t="s">
        <v>3</v>
      </c>
      <c r="E27" s="37"/>
      <c r="F27" s="13"/>
      <c r="G27" s="1"/>
    </row>
    <row r="28" spans="1:7" ht="15" customHeight="1" x14ac:dyDescent="0.25">
      <c r="A28" s="1"/>
      <c r="B28" s="32" t="s">
        <v>64</v>
      </c>
      <c r="C28" s="17">
        <f>SUM(C25:C27)</f>
        <v>7856.145761167144</v>
      </c>
      <c r="D28" s="18" t="s">
        <v>3</v>
      </c>
      <c r="E28" s="17">
        <f>C28</f>
        <v>7856.145761167144</v>
      </c>
      <c r="F28" s="18" t="s">
        <v>3</v>
      </c>
      <c r="G28" s="1"/>
    </row>
    <row r="29" spans="1:7" x14ac:dyDescent="0.25">
      <c r="A29" s="1"/>
      <c r="B29" s="45" t="s">
        <v>15</v>
      </c>
      <c r="C29" s="46"/>
      <c r="D29" s="46"/>
      <c r="E29" s="46"/>
      <c r="F29" s="47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-530511</v>
      </c>
      <c r="D30" s="18" t="s">
        <v>3</v>
      </c>
      <c r="E30" s="17">
        <f>C30</f>
        <v>-530511</v>
      </c>
      <c r="F30" s="18" t="s">
        <v>3</v>
      </c>
      <c r="G30" s="1"/>
    </row>
    <row r="31" spans="1:7" x14ac:dyDescent="0.25">
      <c r="A31" s="1"/>
      <c r="B31" s="45" t="s">
        <v>35</v>
      </c>
      <c r="C31" s="46"/>
      <c r="D31" s="47"/>
      <c r="E31" s="20">
        <f>SUM(E15,E19,E23,E28,E30)</f>
        <v>4303530.1988409236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66</v>
      </c>
      <c r="C9" s="7">
        <f>'Fane 2.1. Økonomisk ramme 2019'!E15</f>
        <v>3238524.4616496773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49</v>
      </c>
      <c r="C10" s="7">
        <f>'Fane 2.1. Økonomisk ramme 2019'!C10*(1+Prisudvikling2018)*(1-GenereltKrav)</f>
        <v>0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67</v>
      </c>
      <c r="C11" s="7">
        <f>SUM('Fane 2.1. Økonomisk ramme 2019'!C11:C12)*(1+Prisudvikling2019)*(1-GenereltKrav)</f>
        <v>377543.60040959215</v>
      </c>
      <c r="D11" s="8" t="s">
        <v>3</v>
      </c>
      <c r="E11" s="37"/>
      <c r="F11" s="13"/>
      <c r="G11" s="1"/>
    </row>
    <row r="12" spans="1:7" ht="15" customHeight="1" x14ac:dyDescent="0.25">
      <c r="A12" s="1"/>
      <c r="B12" s="49" t="s">
        <v>41</v>
      </c>
      <c r="C12" s="11">
        <f>(C9-C10-C11)*Prisudvikling2017+C10*Prisudvikling2018+C11*Prisudvikling2019</f>
        <v>42714.943784671188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14</v>
      </c>
      <c r="C13" s="11">
        <f>-SUM(C9,C12)*GenereltKrav</f>
        <v>-55781.06989238393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50" t="s">
        <v>45</v>
      </c>
      <c r="C14" s="17">
        <f>SUM(C9,C12:C13)</f>
        <v>3225458.3355419645</v>
      </c>
      <c r="D14" s="18" t="s">
        <v>3</v>
      </c>
      <c r="E14" s="17">
        <f>C14</f>
        <v>3225458.3355419645</v>
      </c>
      <c r="F14" s="18" t="s">
        <v>3</v>
      </c>
      <c r="G14" s="1"/>
    </row>
    <row r="15" spans="1:7" ht="15" customHeight="1" x14ac:dyDescent="0.25">
      <c r="A15" s="1"/>
      <c r="B15" s="45" t="s">
        <v>43</v>
      </c>
      <c r="C15" s="46"/>
      <c r="D15" s="46"/>
      <c r="E15" s="46"/>
      <c r="F15" s="47"/>
      <c r="G15" s="1"/>
    </row>
    <row r="16" spans="1:7" ht="15" customHeight="1" x14ac:dyDescent="0.25">
      <c r="A16" s="1"/>
      <c r="B16" s="49" t="s">
        <v>152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9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5" t="s">
        <v>21</v>
      </c>
      <c r="C19" s="46"/>
      <c r="D19" s="46"/>
      <c r="E19" s="46"/>
      <c r="F19" s="47"/>
      <c r="G19" s="1"/>
    </row>
    <row r="20" spans="1:7" ht="14.25" customHeight="1" x14ac:dyDescent="0.25">
      <c r="A20" s="1"/>
      <c r="B20" s="49" t="s">
        <v>21</v>
      </c>
      <c r="C20" s="11">
        <f>'Fane 5. Ikke-påvirkelige omk.'!E14*(1+Prisudvikling2019)</f>
        <v>1614492.0554252479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9" t="s">
        <v>85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86</v>
      </c>
      <c r="C22" s="17">
        <f>SUM(C20:C21)</f>
        <v>1614492.0554252479</v>
      </c>
      <c r="D22" s="18" t="s">
        <v>3</v>
      </c>
      <c r="E22" s="17">
        <f>C22</f>
        <v>1614492.0554252479</v>
      </c>
      <c r="F22" s="18" t="s">
        <v>3</v>
      </c>
      <c r="G22" s="1"/>
    </row>
    <row r="23" spans="1:7" x14ac:dyDescent="0.25">
      <c r="A23" s="1"/>
      <c r="B23" s="45" t="s">
        <v>15</v>
      </c>
      <c r="C23" s="46"/>
      <c r="D23" s="46"/>
      <c r="E23" s="46"/>
      <c r="F23" s="47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-530511</v>
      </c>
      <c r="D24" s="18" t="s">
        <v>3</v>
      </c>
      <c r="E24" s="17">
        <f>C24</f>
        <v>-530511</v>
      </c>
      <c r="F24" s="18" t="s">
        <v>3</v>
      </c>
      <c r="G24" s="1"/>
    </row>
    <row r="25" spans="1:7" x14ac:dyDescent="0.25">
      <c r="A25" s="1"/>
      <c r="B25" s="45" t="s">
        <v>68</v>
      </c>
      <c r="C25" s="46"/>
      <c r="D25" s="47"/>
      <c r="E25" s="20">
        <f>SUM(E14,E18,E22,E24)</f>
        <v>4309439.3909672126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90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48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52" t="s">
        <v>69</v>
      </c>
      <c r="C9" s="7">
        <f>'Fane 2.2. Økonomisk ramme 2020'!E14</f>
        <v>3225458.3355419645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27</v>
      </c>
      <c r="C10" s="7">
        <f>'Fane 4. Korrigeret grundlag'!G24</f>
        <v>10888.870500926934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41</v>
      </c>
      <c r="C11" s="11">
        <f>SUM(C9:C10)*Prisudvikling2019</f>
        <v>54694.267782124858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14</v>
      </c>
      <c r="C12" s="11">
        <f>-SUM(C9:C11)*GenereltKrav</f>
        <v>-55947.705055025275</v>
      </c>
      <c r="D12" s="8" t="s">
        <v>3</v>
      </c>
      <c r="E12" s="15"/>
      <c r="F12" s="16"/>
      <c r="G12" s="1"/>
    </row>
    <row r="13" spans="1:7" x14ac:dyDescent="0.25">
      <c r="A13" s="1"/>
      <c r="B13" s="50" t="s">
        <v>45</v>
      </c>
      <c r="C13" s="17">
        <f>SUM(C9:C12)</f>
        <v>3235093.7687699907</v>
      </c>
      <c r="D13" s="18" t="s">
        <v>3</v>
      </c>
      <c r="E13" s="17">
        <f>C13</f>
        <v>3235093.7687699907</v>
      </c>
      <c r="F13" s="18" t="s">
        <v>3</v>
      </c>
      <c r="G13" s="1"/>
    </row>
    <row r="14" spans="1:7" x14ac:dyDescent="0.25">
      <c r="A14" s="1"/>
      <c r="B14" s="45" t="s">
        <v>43</v>
      </c>
      <c r="C14" s="46"/>
      <c r="D14" s="46"/>
      <c r="E14" s="46"/>
      <c r="F14" s="47"/>
      <c r="G14" s="1"/>
    </row>
    <row r="15" spans="1:7" ht="15" customHeight="1" x14ac:dyDescent="0.25">
      <c r="A15" s="1"/>
      <c r="B15" s="49" t="s">
        <v>152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9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5" t="s">
        <v>21</v>
      </c>
      <c r="C18" s="46"/>
      <c r="D18" s="46"/>
      <c r="E18" s="46"/>
      <c r="F18" s="47"/>
      <c r="G18" s="1"/>
    </row>
    <row r="19" spans="1:7" ht="15" customHeight="1" x14ac:dyDescent="0.25">
      <c r="A19" s="1"/>
      <c r="B19" s="49" t="s">
        <v>21</v>
      </c>
      <c r="C19" s="11">
        <f>'Fane 5. Ikke-påvirkelige omk.'!E14*(1+Prisudvikling2019)^2</f>
        <v>1641776.9711619343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9" t="s">
        <v>85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86</v>
      </c>
      <c r="C21" s="17">
        <f>SUM(C19:C20)</f>
        <v>1641776.9711619343</v>
      </c>
      <c r="D21" s="18" t="s">
        <v>3</v>
      </c>
      <c r="E21" s="17">
        <f>C21</f>
        <v>1641776.9711619343</v>
      </c>
      <c r="F21" s="18" t="s">
        <v>3</v>
      </c>
      <c r="G21" s="1"/>
    </row>
    <row r="22" spans="1:7" x14ac:dyDescent="0.25">
      <c r="A22" s="1"/>
      <c r="B22" s="45" t="s">
        <v>124</v>
      </c>
      <c r="C22" s="46"/>
      <c r="D22" s="46"/>
      <c r="E22" s="46"/>
      <c r="F22" s="47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95547.770038917894</v>
      </c>
      <c r="D23" s="18" t="s">
        <v>3</v>
      </c>
      <c r="E23" s="17">
        <f>C23</f>
        <v>95547.770038917894</v>
      </c>
      <c r="F23" s="18" t="s">
        <v>3</v>
      </c>
      <c r="G23" s="1"/>
    </row>
    <row r="24" spans="1:7" x14ac:dyDescent="0.25">
      <c r="A24" s="1"/>
      <c r="B24" s="45" t="s">
        <v>121</v>
      </c>
      <c r="C24" s="46"/>
      <c r="D24" s="46"/>
      <c r="E24" s="46"/>
      <c r="F24" s="47"/>
      <c r="G24" s="1"/>
    </row>
    <row r="25" spans="1:7" ht="15" customHeight="1" x14ac:dyDescent="0.25">
      <c r="A25" s="1"/>
      <c r="B25" s="48" t="s">
        <v>122</v>
      </c>
      <c r="C25" s="11">
        <f>'Fane 6. Korrektion prisloft 16'!G22</f>
        <v>-308788.8899192969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8" t="s">
        <v>120</v>
      </c>
      <c r="C26" s="11">
        <f>'Fane 8. Kontrol af ØR2017'!G22</f>
        <v>-475076.29749675415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64">
        <f>SUM(C25:C26)</f>
        <v>-783865.18741605105</v>
      </c>
      <c r="D27" s="41" t="s">
        <v>3</v>
      </c>
      <c r="E27" s="17">
        <f>C27</f>
        <v>-783865.18741605105</v>
      </c>
      <c r="F27" s="18" t="s">
        <v>3</v>
      </c>
      <c r="G27" s="1"/>
    </row>
    <row r="28" spans="1:7" x14ac:dyDescent="0.25">
      <c r="A28" s="1"/>
      <c r="B28" s="45" t="s">
        <v>84</v>
      </c>
      <c r="C28" s="46"/>
      <c r="D28" s="47"/>
      <c r="E28" s="20">
        <f>SUM(E13,E17,E21,E23,E27)</f>
        <v>4188553.3225547918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91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48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79</v>
      </c>
      <c r="C9" s="7">
        <f>'Fane 2.3. Økonomisk ramme 2021'!E13</f>
        <v>3235093.7687699907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41</v>
      </c>
      <c r="C10" s="11">
        <f>C9*Prisudvikling2019</f>
        <v>54673.08469221284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9" t="s">
        <v>14</v>
      </c>
      <c r="C11" s="11">
        <f>-SUM(C9:C10)*GenereltKrav</f>
        <v>-55926.036508857462</v>
      </c>
      <c r="D11" s="8" t="s">
        <v>3</v>
      </c>
      <c r="E11" s="15"/>
      <c r="F11" s="16"/>
      <c r="G11" s="1"/>
    </row>
    <row r="12" spans="1:7" x14ac:dyDescent="0.25">
      <c r="A12" s="1"/>
      <c r="B12" s="50" t="s">
        <v>45</v>
      </c>
      <c r="C12" s="17">
        <f>SUM(C9:C11)</f>
        <v>3233840.8169533461</v>
      </c>
      <c r="D12" s="18" t="s">
        <v>3</v>
      </c>
      <c r="E12" s="17">
        <f>C12</f>
        <v>3233840.8169533461</v>
      </c>
      <c r="F12" s="18" t="s">
        <v>3</v>
      </c>
      <c r="G12" s="1"/>
    </row>
    <row r="13" spans="1:7" x14ac:dyDescent="0.25">
      <c r="A13" s="1"/>
      <c r="B13" s="45" t="s">
        <v>43</v>
      </c>
      <c r="C13" s="46"/>
      <c r="D13" s="46"/>
      <c r="E13" s="46"/>
      <c r="F13" s="47"/>
      <c r="G13" s="1"/>
    </row>
    <row r="14" spans="1:7" ht="15" customHeight="1" x14ac:dyDescent="0.25">
      <c r="A14" s="1"/>
      <c r="B14" s="49" t="s">
        <v>152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9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5" t="s">
        <v>21</v>
      </c>
      <c r="C17" s="46"/>
      <c r="D17" s="46"/>
      <c r="E17" s="46"/>
      <c r="F17" s="47"/>
      <c r="G17" s="1"/>
    </row>
    <row r="18" spans="1:7" ht="15" customHeight="1" x14ac:dyDescent="0.25">
      <c r="A18" s="1"/>
      <c r="B18" s="49" t="s">
        <v>21</v>
      </c>
      <c r="C18" s="11">
        <f>'Fane 5. Ikke-påvirkelige omk.'!E14*(1+Prisudvikling2019)^3</f>
        <v>1669523.0019745708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9" t="s">
        <v>85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86</v>
      </c>
      <c r="C20" s="17">
        <f>SUM(C18:C19)</f>
        <v>1669523.0019745708</v>
      </c>
      <c r="D20" s="18" t="s">
        <v>3</v>
      </c>
      <c r="E20" s="17">
        <f>C20</f>
        <v>1669523.0019745708</v>
      </c>
      <c r="F20" s="18" t="s">
        <v>3</v>
      </c>
      <c r="G20" s="1"/>
    </row>
    <row r="21" spans="1:7" x14ac:dyDescent="0.25">
      <c r="A21" s="1"/>
      <c r="B21" s="45" t="s">
        <v>124</v>
      </c>
      <c r="C21" s="46"/>
      <c r="D21" s="46"/>
      <c r="E21" s="46"/>
      <c r="F21" s="47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97162.527352575591</v>
      </c>
      <c r="D22" s="18" t="s">
        <v>3</v>
      </c>
      <c r="E22" s="17">
        <f>C22</f>
        <v>97162.527352575591</v>
      </c>
      <c r="F22" s="18" t="s">
        <v>3</v>
      </c>
      <c r="G22" s="1"/>
    </row>
    <row r="23" spans="1:7" ht="15" customHeight="1" x14ac:dyDescent="0.25">
      <c r="A23" s="1"/>
      <c r="B23" s="45" t="s">
        <v>121</v>
      </c>
      <c r="C23" s="46"/>
      <c r="D23" s="46"/>
      <c r="E23" s="46"/>
      <c r="F23" s="47"/>
      <c r="G23" s="1"/>
    </row>
    <row r="24" spans="1:7" ht="15" customHeight="1" x14ac:dyDescent="0.25">
      <c r="A24" s="1"/>
      <c r="B24" s="48" t="s">
        <v>122</v>
      </c>
      <c r="C24" s="11">
        <f>'Fane 2.3. Økonomisk ramme 2021'!C25*(1+Prisudvikling2019)</f>
        <v>-314007.42215893301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8" t="s">
        <v>120</v>
      </c>
      <c r="C25" s="11">
        <f>'Fane 2.3. Økonomisk ramme 2021'!C26*(1+Prisudvikling2019)</f>
        <v>-483105.08692444925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64">
        <f>SUM(C24:C25)</f>
        <v>-797112.50908338232</v>
      </c>
      <c r="D26" s="41" t="s">
        <v>3</v>
      </c>
      <c r="E26" s="17">
        <f>C26</f>
        <v>-797112.50908338232</v>
      </c>
      <c r="F26" s="18" t="s">
        <v>3</v>
      </c>
      <c r="G26" s="1"/>
    </row>
    <row r="27" spans="1:7" x14ac:dyDescent="0.25">
      <c r="A27" s="1"/>
      <c r="B27" s="45" t="s">
        <v>78</v>
      </c>
      <c r="C27" s="46"/>
      <c r="D27" s="47"/>
      <c r="E27" s="20">
        <f>SUM(E12,E16,E20,E22,E26)</f>
        <v>4203413.8371971101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92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59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34</v>
      </c>
      <c r="C9" s="53"/>
      <c r="D9" s="53"/>
      <c r="E9" s="53"/>
      <c r="F9" s="54"/>
      <c r="G9" s="25">
        <v>4859227.2216788428</v>
      </c>
      <c r="H9" s="22" t="s">
        <v>3</v>
      </c>
      <c r="I9" s="1"/>
    </row>
    <row r="10" spans="1:9" x14ac:dyDescent="0.25">
      <c r="A10" s="1"/>
      <c r="B10" s="51" t="s">
        <v>60</v>
      </c>
      <c r="C10" s="53"/>
      <c r="D10" s="53"/>
      <c r="E10" s="53"/>
      <c r="F10" s="54"/>
      <c r="G10" s="25">
        <v>0</v>
      </c>
      <c r="H10" s="22" t="s">
        <v>3</v>
      </c>
      <c r="I10" s="1"/>
    </row>
    <row r="11" spans="1:9" x14ac:dyDescent="0.25">
      <c r="A11" s="1"/>
      <c r="B11" s="51" t="s">
        <v>57</v>
      </c>
      <c r="C11" s="53"/>
      <c r="D11" s="53"/>
      <c r="E11" s="53"/>
      <c r="F11" s="54"/>
      <c r="G11" s="25">
        <v>1985267.8473</v>
      </c>
      <c r="H11" s="22" t="s">
        <v>3</v>
      </c>
      <c r="I11" s="1"/>
    </row>
    <row r="12" spans="1:9" x14ac:dyDescent="0.25">
      <c r="A12" s="1"/>
      <c r="B12" s="51" t="s">
        <v>58</v>
      </c>
      <c r="C12" s="53"/>
      <c r="D12" s="53"/>
      <c r="E12" s="53"/>
      <c r="F12" s="54"/>
      <c r="G12" s="25">
        <v>0</v>
      </c>
      <c r="H12" s="22" t="s">
        <v>3</v>
      </c>
      <c r="I12" s="1"/>
    </row>
    <row r="13" spans="1:9" ht="26.25" customHeight="1" x14ac:dyDescent="0.25">
      <c r="A13" s="1"/>
      <c r="B13" s="55" t="s">
        <v>80</v>
      </c>
      <c r="C13" s="56"/>
      <c r="D13" s="56"/>
      <c r="E13" s="56"/>
      <c r="F13" s="57"/>
      <c r="G13" s="39">
        <f>G9-G11-G12</f>
        <v>2873959.3743788428</v>
      </c>
      <c r="H13" s="40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138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70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71</v>
      </c>
      <c r="C9" s="53"/>
      <c r="D9" s="53"/>
      <c r="E9" s="53"/>
      <c r="F9" s="54"/>
      <c r="G9" s="25">
        <v>1226883.2193321574</v>
      </c>
      <c r="H9" s="22" t="s">
        <v>3</v>
      </c>
      <c r="I9" s="1"/>
    </row>
    <row r="10" spans="1:9" x14ac:dyDescent="0.25">
      <c r="A10" s="1"/>
      <c r="B10" s="52" t="s">
        <v>72</v>
      </c>
      <c r="C10" s="53"/>
      <c r="D10" s="53"/>
      <c r="E10" s="53"/>
      <c r="F10" s="54"/>
      <c r="G10" s="25">
        <v>1709932.6780921444</v>
      </c>
      <c r="H10" s="22" t="s">
        <v>3</v>
      </c>
      <c r="I10" s="1"/>
    </row>
    <row r="11" spans="1:9" ht="26.25" customHeight="1" x14ac:dyDescent="0.25">
      <c r="A11" s="1"/>
      <c r="B11" s="55" t="s">
        <v>73</v>
      </c>
      <c r="C11" s="56"/>
      <c r="D11" s="56"/>
      <c r="E11" s="56"/>
      <c r="F11" s="57"/>
      <c r="G11" s="39">
        <f>SUM(G9:G10)</f>
        <v>2936815.8974243021</v>
      </c>
      <c r="H11" s="40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5" t="s">
        <v>74</v>
      </c>
      <c r="C14" s="46"/>
      <c r="D14" s="46"/>
      <c r="E14" s="46"/>
      <c r="F14" s="46"/>
      <c r="G14" s="46"/>
      <c r="H14" s="47"/>
      <c r="I14" s="1"/>
    </row>
    <row r="15" spans="1:9" x14ac:dyDescent="0.25">
      <c r="A15" s="1"/>
      <c r="B15" s="52" t="s">
        <v>36</v>
      </c>
      <c r="C15" s="53"/>
      <c r="D15" s="53"/>
      <c r="E15" s="53"/>
      <c r="F15" s="54"/>
      <c r="G15" s="25">
        <v>1226883.2193321574</v>
      </c>
      <c r="H15" s="22" t="s">
        <v>3</v>
      </c>
      <c r="I15" s="1"/>
    </row>
    <row r="16" spans="1:9" x14ac:dyDescent="0.25">
      <c r="A16" s="1"/>
      <c r="B16" s="52" t="s">
        <v>37</v>
      </c>
      <c r="C16" s="53"/>
      <c r="D16" s="53"/>
      <c r="E16" s="53"/>
      <c r="F16" s="54"/>
      <c r="G16" s="25">
        <v>1720287.6301108112</v>
      </c>
      <c r="H16" s="22" t="s">
        <v>3</v>
      </c>
      <c r="I16" s="1"/>
    </row>
    <row r="17" spans="1:9" ht="26.25" customHeight="1" x14ac:dyDescent="0.25">
      <c r="A17" s="1"/>
      <c r="B17" s="55" t="s">
        <v>75</v>
      </c>
      <c r="C17" s="56"/>
      <c r="D17" s="56"/>
      <c r="E17" s="56"/>
      <c r="F17" s="57"/>
      <c r="G17" s="39">
        <f>SUM(G15:G16)</f>
        <v>2947170.8494429686</v>
      </c>
      <c r="H17" s="40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5" t="s">
        <v>27</v>
      </c>
      <c r="C20" s="46"/>
      <c r="D20" s="46"/>
      <c r="E20" s="46"/>
      <c r="F20" s="46"/>
      <c r="G20" s="46"/>
      <c r="H20" s="47"/>
      <c r="I20" s="1"/>
    </row>
    <row r="21" spans="1:9" x14ac:dyDescent="0.25">
      <c r="A21" s="1"/>
      <c r="B21" s="52" t="s">
        <v>76</v>
      </c>
      <c r="C21" s="53"/>
      <c r="D21" s="53"/>
      <c r="E21" s="53"/>
      <c r="F21" s="54"/>
      <c r="G21" s="11">
        <f>G15-G9</f>
        <v>0</v>
      </c>
      <c r="H21" s="22" t="s">
        <v>3</v>
      </c>
      <c r="I21" s="1"/>
    </row>
    <row r="22" spans="1:9" x14ac:dyDescent="0.25">
      <c r="A22" s="1"/>
      <c r="B22" s="52" t="s">
        <v>77</v>
      </c>
      <c r="C22" s="53"/>
      <c r="D22" s="53"/>
      <c r="E22" s="53"/>
      <c r="F22" s="54"/>
      <c r="G22" s="11">
        <f>G16-G10</f>
        <v>10354.95201866678</v>
      </c>
      <c r="H22" s="22" t="s">
        <v>3</v>
      </c>
      <c r="I22" s="1"/>
    </row>
    <row r="23" spans="1:9" ht="15" customHeight="1" x14ac:dyDescent="0.25">
      <c r="A23" s="1"/>
      <c r="B23" s="55" t="s">
        <v>139</v>
      </c>
      <c r="C23" s="56"/>
      <c r="D23" s="56"/>
      <c r="E23" s="56"/>
      <c r="F23" s="57"/>
      <c r="G23" s="20">
        <f>SUM(G21:G22)</f>
        <v>10354.95201866678</v>
      </c>
      <c r="H23" s="21" t="s">
        <v>3</v>
      </c>
      <c r="I23" s="1"/>
    </row>
    <row r="24" spans="1:9" ht="15" customHeight="1" x14ac:dyDescent="0.25">
      <c r="A24" s="1"/>
      <c r="B24" s="55" t="s">
        <v>140</v>
      </c>
      <c r="C24" s="56"/>
      <c r="D24" s="56"/>
      <c r="E24" s="56"/>
      <c r="F24" s="57"/>
      <c r="G24" s="20">
        <f>G23*(1+Prisudvikling2019)^3</f>
        <v>10888.870500926934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3" t="s">
        <v>111</v>
      </c>
      <c r="C26" s="63"/>
      <c r="D26" s="63"/>
      <c r="E26" s="63"/>
      <c r="F26" s="63"/>
      <c r="G26" s="63"/>
      <c r="H26" s="63"/>
      <c r="I26" s="1"/>
    </row>
    <row r="27" spans="1:9" ht="26.25" x14ac:dyDescent="0.25">
      <c r="A27" s="1"/>
      <c r="B27" s="63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133</v>
      </c>
      <c r="C3" s="93"/>
      <c r="D3" s="93"/>
      <c r="E3" s="93"/>
      <c r="F3" s="93"/>
      <c r="G3" s="1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81</v>
      </c>
      <c r="C8" s="46"/>
      <c r="D8" s="46"/>
      <c r="E8" s="46"/>
      <c r="F8" s="47"/>
      <c r="G8" s="1"/>
      <c r="H8" s="1"/>
    </row>
    <row r="9" spans="1:8" ht="15" customHeight="1" x14ac:dyDescent="0.25">
      <c r="A9" s="1"/>
      <c r="B9" s="32" t="s">
        <v>108</v>
      </c>
      <c r="C9" s="33"/>
      <c r="D9" s="41"/>
      <c r="E9" s="18" t="s">
        <v>56</v>
      </c>
      <c r="F9" s="18"/>
      <c r="G9" s="1"/>
      <c r="H9" s="1"/>
    </row>
    <row r="10" spans="1:8" x14ac:dyDescent="0.25">
      <c r="A10" s="1"/>
      <c r="B10" s="71" t="s">
        <v>148</v>
      </c>
      <c r="C10" s="58"/>
      <c r="D10" s="59"/>
      <c r="E10" s="25">
        <v>1532688</v>
      </c>
      <c r="F10" s="22" t="s">
        <v>3</v>
      </c>
      <c r="G10" s="1"/>
      <c r="H10" s="1"/>
    </row>
    <row r="11" spans="1:8" x14ac:dyDescent="0.25">
      <c r="A11" s="1"/>
      <c r="B11" s="71" t="s">
        <v>149</v>
      </c>
      <c r="C11" s="58"/>
      <c r="D11" s="59"/>
      <c r="E11" s="25">
        <v>2609</v>
      </c>
      <c r="F11" s="22" t="s">
        <v>3</v>
      </c>
      <c r="G11" s="1"/>
      <c r="H11" s="1"/>
    </row>
    <row r="12" spans="1:8" x14ac:dyDescent="0.25">
      <c r="A12" s="1"/>
      <c r="B12" s="71" t="s">
        <v>150</v>
      </c>
      <c r="C12" s="58"/>
      <c r="D12" s="59"/>
      <c r="E12" s="25">
        <v>31</v>
      </c>
      <c r="F12" s="22" t="s">
        <v>3</v>
      </c>
      <c r="G12" s="1"/>
      <c r="H12" s="1"/>
    </row>
    <row r="13" spans="1:8" x14ac:dyDescent="0.25">
      <c r="A13" s="1"/>
      <c r="B13" s="45" t="s">
        <v>136</v>
      </c>
      <c r="C13" s="46"/>
      <c r="D13" s="47"/>
      <c r="E13" s="20">
        <f>SUM(E10:E12)</f>
        <v>1535328</v>
      </c>
      <c r="F13" s="21" t="s">
        <v>3</v>
      </c>
      <c r="G13" s="1"/>
      <c r="H13" s="1"/>
    </row>
    <row r="14" spans="1:8" x14ac:dyDescent="0.25">
      <c r="A14" s="1"/>
      <c r="B14" s="45" t="s">
        <v>137</v>
      </c>
      <c r="C14" s="46"/>
      <c r="D14" s="47"/>
      <c r="E14" s="20">
        <f>E13*(1+Prisudvikling2019)^2</f>
        <v>1587660.5914300797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124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351263.59333333332</v>
      </c>
      <c r="F9" s="22" t="s">
        <v>3</v>
      </c>
      <c r="G9" s="19"/>
      <c r="H9" s="30"/>
      <c r="I9" s="1"/>
    </row>
    <row r="10" spans="1:9" x14ac:dyDescent="0.25">
      <c r="A10" s="1"/>
      <c r="B10" s="102" t="s">
        <v>115</v>
      </c>
      <c r="C10" s="103"/>
      <c r="D10" s="104"/>
      <c r="E10" s="11">
        <v>4</v>
      </c>
      <c r="F10" s="22" t="s">
        <v>42</v>
      </c>
      <c r="G10" s="14"/>
      <c r="H10" s="31"/>
      <c r="I10" s="1"/>
    </row>
    <row r="11" spans="1:9" x14ac:dyDescent="0.25">
      <c r="A11" s="1"/>
      <c r="B11" s="102" t="s">
        <v>125</v>
      </c>
      <c r="C11" s="103"/>
      <c r="D11" s="104"/>
      <c r="E11" s="11">
        <f>E9/E10</f>
        <v>87815.898333333331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131</v>
      </c>
      <c r="C12" s="97"/>
      <c r="D12" s="97"/>
      <c r="E12" s="97"/>
      <c r="F12" s="98"/>
      <c r="G12" s="20">
        <f>E11</f>
        <v>87815.898333333331</v>
      </c>
      <c r="H12" s="21" t="s">
        <v>3</v>
      </c>
      <c r="I12" s="1"/>
    </row>
    <row r="13" spans="1:9" x14ac:dyDescent="0.25">
      <c r="A13" s="1"/>
      <c r="B13" s="96" t="s">
        <v>127</v>
      </c>
      <c r="C13" s="97"/>
      <c r="D13" s="97"/>
      <c r="E13" s="97"/>
      <c r="F13" s="98"/>
      <c r="G13" s="20">
        <f>G12*(1+Prisudvikling2018)*(1+Prisudvikling2019)^4</f>
        <v>95547.770038917894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122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122</v>
      </c>
      <c r="C18" s="100"/>
      <c r="D18" s="101"/>
      <c r="E18" s="25">
        <v>-1135204.8824403076</v>
      </c>
      <c r="F18" s="22" t="s">
        <v>3</v>
      </c>
      <c r="G18" s="14"/>
      <c r="H18" s="31"/>
      <c r="I18" s="1"/>
    </row>
    <row r="19" spans="1:9" x14ac:dyDescent="0.25">
      <c r="A19" s="1"/>
      <c r="B19" s="102" t="s">
        <v>115</v>
      </c>
      <c r="C19" s="103"/>
      <c r="D19" s="104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102" t="s">
        <v>126</v>
      </c>
      <c r="C20" s="103"/>
      <c r="D20" s="104"/>
      <c r="E20" s="11">
        <f>E18/E19</f>
        <v>-283801.22061007691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131</v>
      </c>
      <c r="C21" s="97"/>
      <c r="D21" s="97"/>
      <c r="E21" s="97"/>
      <c r="F21" s="98"/>
      <c r="G21" s="20">
        <f>E20</f>
        <v>-283801.22061007691</v>
      </c>
      <c r="H21" s="21" t="s">
        <v>3</v>
      </c>
      <c r="I21" s="1"/>
    </row>
    <row r="22" spans="1:9" x14ac:dyDescent="0.25">
      <c r="A22" s="1"/>
      <c r="B22" s="96" t="s">
        <v>127</v>
      </c>
      <c r="C22" s="97"/>
      <c r="D22" s="97"/>
      <c r="E22" s="97"/>
      <c r="F22" s="98"/>
      <c r="G22" s="20">
        <f>G21*(1+Prisudvikling2018)*(1+Prisudvikling2019)^4</f>
        <v>-308788.8899192969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2018-08-27T12:58:50Z</dcterms:modified>
</cp:coreProperties>
</file>