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C17" i="2" l="1"/>
  <c r="C18" i="2" l="1"/>
  <c r="C19" i="2" s="1"/>
  <c r="E19" i="2" s="1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32" i="2" l="1"/>
  <c r="C16" i="23"/>
  <c r="E16" i="23" s="1"/>
  <c r="C16" i="22"/>
  <c r="C17" i="22" s="1"/>
  <c r="E17" i="22" s="1"/>
  <c r="C17" i="15"/>
  <c r="C18" i="15" s="1"/>
  <c r="E18" i="15" s="1"/>
  <c r="C22" i="2"/>
  <c r="C23" i="2" s="1"/>
  <c r="E23" i="2" s="1"/>
  <c r="G21" i="7" l="1"/>
  <c r="G22" i="7"/>
  <c r="G17" i="7"/>
  <c r="D12" i="20"/>
  <c r="E11" i="21"/>
  <c r="E12" i="21" s="1"/>
  <c r="C11" i="21"/>
  <c r="C12" i="21" s="1"/>
  <c r="C10" i="2"/>
  <c r="C10" i="15" s="1"/>
  <c r="C9" i="2"/>
  <c r="E14" i="19"/>
  <c r="E15" i="19" s="1"/>
  <c r="C25" i="2" l="1"/>
  <c r="C27" i="2" s="1"/>
  <c r="E27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32" i="2" l="1"/>
  <c r="G13" i="10"/>
  <c r="C34" i="2" l="1"/>
  <c r="C24" i="15"/>
  <c r="E24" i="15" s="1"/>
  <c r="D13" i="20" l="1"/>
  <c r="G11" i="7" l="1"/>
  <c r="E11" i="11" l="1"/>
  <c r="F10" i="20" s="1"/>
  <c r="F12" i="20" s="1"/>
  <c r="F13" i="20" s="1"/>
  <c r="C11" i="2" s="1"/>
  <c r="E34" i="2"/>
  <c r="C13" i="2" l="1"/>
  <c r="C14" i="2" s="1"/>
  <c r="C15" i="2" s="1"/>
  <c r="C11" i="15"/>
  <c r="E23" i="22"/>
  <c r="E15" i="2" l="1"/>
  <c r="C9" i="15" l="1"/>
  <c r="C12" i="15" s="1"/>
  <c r="C13" i="15" s="1"/>
  <c r="E35" i="2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<sst xmlns="http://schemas.openxmlformats.org/spreadsheetml/2006/main" count="371" uniqueCount="164">
  <si>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</si>
  <si>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</si>
  <si>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</si>
  <si>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</si>
  <si>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</si>
  <si>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</si>
  <si>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</si>
  <si>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</si>
  <si>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</si>
  <si>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</si>
  <si>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</si>
  <si>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</si>
  <si>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</si>
  <si>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</si>
  <si>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</si>
  <si>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</si>
  <si>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</si>
  <si>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</si>
  <si>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</si>
  <si>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</si>
  <si>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</si>
  <si>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</si>
  <si>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</si>
  <si>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</si>
  <si>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</si>
  <si>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</si>
  <si>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</si>
  <si>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</si>
  <si>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</si>
  <si>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</si>
  <si>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</si>
  <si>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</si>
  <si>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</si>
  <si>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</si>
  <si>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</si>
  <si>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</si>
  <si>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</si>
  <si>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</si>
  <si>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</si>
  <si>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</si>
  <si>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</si>
  <si>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</si>
  <si>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</si>
  <si>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</si>
  <si>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</si>
  <si>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</si>
  <si>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</si>
  <si>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</si>
  <si>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</si>
  <si>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</si>
  <si>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</si>
  <si>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</si>
  <si>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</si>
  <si>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</si>
  <si>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</si>
  <si>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</si>
  <si>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</si>
  <si>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</si>
  <si>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</si>
  <si>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</si>
  <si>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</si>
  <si>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</si>
  <si>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</si>
  <si>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</si>
  <si>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</si>
  <si>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</si>
  <si>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</si>
  <si>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</si>
  <si>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</si>
  <si>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</si>
  <si>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</si>
  <si>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</si>
  <si>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</si>
  <si>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</si>
  <si>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</si>
  <si>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</si>
  <si>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</si>
  <si>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</si>
  <si>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</si>
  <si>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</si>
  <si>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</si>
  <si>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</si>
  <si>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</si>
  <si>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</si>
  <si>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</si>
  <si>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</si>
  <si>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</si>
  <si>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</si>
  <si>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</si>
  <si>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</si>
  <si>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</si>
  <si>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</si>
  <si>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</si>
  <si>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</si>
  <si>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</si>
  <si>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</si>
  <si>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</si>
  <si>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</si>
  <si>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</si>
  <si>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</si>
  <si>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</si>
  <si>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</si>
  <si>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</si>
  <si>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</si>
  <si>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</si>
  <si>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</si>
  <si>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</si>
  <si>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</si>
  <si>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</si>
  <si>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</si>
  <si>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</si>
  <si>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</si>
  <si>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</si>
  <si>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</si>
  <si>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</si>
  <si>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</si>
  <si>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</si>
  <si>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</si>
  <si>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</si>
  <si>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</si>
  <si>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</si>
  <si>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</si>
  <si>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</si>
  <si>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</si>
  <si>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</si>
  <si>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</si>
  <si>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</si>
  <si>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</si>
  <si>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</si>
  <si>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</si>
  <si>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</si>
  <si>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</si>
  <si>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</si>
  <si>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</si>
  <si>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</si>
  <si>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</si>
  <si>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</si>
  <si>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</si>
  <si>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</si>
  <si>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</si>
  <si>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</si>
  <si>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</si>
  <si>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</si>
  <si>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</si>
  <si>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</si>
  <si>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</si>
  <si>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</si>
  <si>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</si>
  <si>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Udvidelse af forsyningsområde (§ 11, stk. 4)</t>
  </si>
  <si>
    <t>Afgift for ledingsført vand</t>
  </si>
  <si>
    <t>Afgift til Forsyningsekretariatet</t>
  </si>
  <si>
    <t>Skatter og afgifter</t>
  </si>
  <si>
    <t>Selskabsskatter</t>
  </si>
  <si>
    <t>Ingen anlægsprojekter</t>
  </si>
  <si>
    <t>Periodevise driftsomkostninger under prisloftsbekendtgørelsen</t>
  </si>
  <si>
    <t>Bemærk desuden, at korrektion af ikke-påvirkelige omkostninger ikke er medtaget i denne opgørelse, men fremgår af fane 5.</t>
  </si>
  <si>
    <t xml:space="preserve">Udvidelse af forsyningsområdet </t>
  </si>
  <si>
    <t>Engangstillæg</t>
  </si>
  <si>
    <t>Tillæg som bortfalder i den økonomiske ramme for 2020</t>
  </si>
  <si>
    <t>Effektiviseringskrav</t>
  </si>
  <si>
    <t>Engangstillæg i alt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</si>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</sst>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8" fillId="9" borderId="1" xfId="0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4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6" t="s">
        <v>103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8" t="s">
        <v>32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31</v>
      </c>
      <c r="D14" s="78" t="s">
        <v>96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94</v>
      </c>
      <c r="D15" s="78" t="s">
        <v>97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95</v>
      </c>
      <c r="D16" s="78" t="s">
        <v>132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7</v>
      </c>
      <c r="D17" s="87" t="s">
        <v>98</v>
      </c>
      <c r="E17" s="88"/>
      <c r="F17" s="88"/>
      <c r="G17" s="89"/>
      <c r="H17" s="1"/>
      <c r="I17" s="1"/>
    </row>
    <row r="18" spans="1:9" x14ac:dyDescent="0.25">
      <c r="A18" s="1"/>
      <c r="B18" s="1"/>
      <c r="C18" s="6" t="s">
        <v>8</v>
      </c>
      <c r="D18" s="87" t="s">
        <v>100</v>
      </c>
      <c r="E18" s="88"/>
      <c r="F18" s="88"/>
      <c r="G18" s="89"/>
      <c r="H18" s="1"/>
      <c r="I18" s="1"/>
    </row>
    <row r="19" spans="1:9" x14ac:dyDescent="0.25">
      <c r="A19" s="1"/>
      <c r="B19" s="1"/>
      <c r="C19" s="6" t="s">
        <v>9</v>
      </c>
      <c r="D19" s="87" t="s">
        <v>99</v>
      </c>
      <c r="E19" s="88"/>
      <c r="F19" s="88"/>
      <c r="G19" s="89"/>
      <c r="H19" s="1"/>
      <c r="I19" s="1"/>
    </row>
    <row r="20" spans="1:9" x14ac:dyDescent="0.25">
      <c r="A20" s="1"/>
      <c r="B20" s="1"/>
      <c r="C20" s="6" t="s">
        <v>10</v>
      </c>
      <c r="D20" s="90" t="s">
        <v>129</v>
      </c>
      <c r="E20" s="91"/>
      <c r="F20" s="91"/>
      <c r="G20" s="92"/>
      <c r="H20" s="1"/>
      <c r="I20" s="1"/>
    </row>
    <row r="21" spans="1:9" x14ac:dyDescent="0.25">
      <c r="A21" s="1"/>
      <c r="B21" s="1"/>
      <c r="C21" s="6" t="s">
        <v>11</v>
      </c>
      <c r="D21" s="82" t="s">
        <v>101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12</v>
      </c>
      <c r="D22" s="82" t="s">
        <v>130</v>
      </c>
      <c r="E22" s="83"/>
      <c r="F22" s="83"/>
      <c r="G22" s="84"/>
      <c r="H22" s="1"/>
      <c r="I22" s="1"/>
    </row>
    <row r="23" spans="1:9" x14ac:dyDescent="0.25">
      <c r="A23" s="1"/>
      <c r="B23" s="1"/>
      <c r="C23" s="6" t="s">
        <v>13</v>
      </c>
      <c r="D23" s="82" t="s">
        <v>104</v>
      </c>
      <c r="E23" s="83"/>
      <c r="F23" s="83"/>
      <c r="G23" s="84"/>
      <c r="H23" s="1"/>
      <c r="I23" s="1"/>
    </row>
    <row r="24" spans="1:9" x14ac:dyDescent="0.25">
      <c r="A24" s="1"/>
      <c r="B24" s="1"/>
      <c r="C24" s="6" t="s">
        <v>25</v>
      </c>
      <c r="D24" s="75" t="s">
        <v>28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29</v>
      </c>
      <c r="D25" s="72" t="s">
        <v>102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30</v>
      </c>
      <c r="D26" s="72" t="s">
        <v>65</v>
      </c>
      <c r="E26" s="73"/>
      <c r="F26" s="73"/>
      <c r="G26" s="74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3" t="s">
        <v>134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5" t="s">
        <v>22</v>
      </c>
      <c r="C8" s="46"/>
      <c r="D8" s="46"/>
      <c r="E8" s="46"/>
      <c r="F8" s="46"/>
      <c r="G8" s="46"/>
      <c r="H8" s="47"/>
      <c r="I8" s="1"/>
    </row>
    <row r="9" spans="1:9" x14ac:dyDescent="0.25">
      <c r="A9" s="1"/>
      <c r="B9" s="52" t="s">
        <v>17</v>
      </c>
      <c r="C9" s="53"/>
      <c r="D9" s="53"/>
      <c r="E9" s="53"/>
      <c r="F9" s="54"/>
      <c r="G9" s="25">
        <v>-5211496</v>
      </c>
      <c r="H9" s="22" t="s">
        <v>3</v>
      </c>
      <c r="I9" s="1"/>
    </row>
    <row r="10" spans="1:9" x14ac:dyDescent="0.25">
      <c r="A10" s="1"/>
      <c r="B10" s="52" t="s">
        <v>55</v>
      </c>
      <c r="C10" s="53"/>
      <c r="D10" s="53"/>
      <c r="E10" s="53"/>
      <c r="F10" s="54"/>
      <c r="G10" s="25">
        <v>-4188054</v>
      </c>
      <c r="H10" s="22" t="s">
        <v>3</v>
      </c>
      <c r="I10" s="1"/>
    </row>
    <row r="11" spans="1:9" x14ac:dyDescent="0.25">
      <c r="A11" s="1"/>
      <c r="B11" s="60" t="s">
        <v>19</v>
      </c>
      <c r="C11" s="61"/>
      <c r="D11" s="61"/>
      <c r="E11" s="61"/>
      <c r="F11" s="62"/>
      <c r="G11" s="36">
        <f>G9-G10</f>
        <v>-1023442</v>
      </c>
      <c r="H11" s="29" t="s">
        <v>3</v>
      </c>
      <c r="I11" s="1"/>
    </row>
    <row r="12" spans="1:9" x14ac:dyDescent="0.25">
      <c r="A12" s="1"/>
      <c r="B12" s="52" t="s">
        <v>18</v>
      </c>
      <c r="C12" s="53"/>
      <c r="D12" s="53"/>
      <c r="E12" s="53"/>
      <c r="F12" s="54"/>
      <c r="G12" s="25">
        <v>2</v>
      </c>
      <c r="H12" s="22" t="s">
        <v>42</v>
      </c>
      <c r="I12" s="1"/>
    </row>
    <row r="13" spans="1:9" x14ac:dyDescent="0.25">
      <c r="A13" s="1"/>
      <c r="B13" s="45" t="s">
        <v>16</v>
      </c>
      <c r="C13" s="46"/>
      <c r="D13" s="46"/>
      <c r="E13" s="46"/>
      <c r="F13" s="47"/>
      <c r="G13" s="20">
        <f>IF(G12 = 0,0,G11/G12)</f>
        <v>-511721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135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112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2" t="s">
        <v>105</v>
      </c>
      <c r="C9" s="103"/>
      <c r="D9" s="104"/>
      <c r="E9" s="25">
        <v>5408425.079326354</v>
      </c>
      <c r="F9" s="22" t="s">
        <v>3</v>
      </c>
      <c r="G9" s="19"/>
      <c r="H9" s="30"/>
      <c r="I9" s="1"/>
    </row>
    <row r="10" spans="1:9" x14ac:dyDescent="0.25">
      <c r="A10" s="1"/>
      <c r="B10" s="102" t="s">
        <v>106</v>
      </c>
      <c r="C10" s="103"/>
      <c r="D10" s="104"/>
      <c r="E10" s="25">
        <v>6031780</v>
      </c>
      <c r="F10" s="22" t="s">
        <v>3</v>
      </c>
      <c r="G10" s="14"/>
      <c r="H10" s="31"/>
      <c r="I10" s="1"/>
    </row>
    <row r="11" spans="1:9" x14ac:dyDescent="0.25">
      <c r="A11" s="1"/>
      <c r="B11" s="102" t="s">
        <v>113</v>
      </c>
      <c r="C11" s="103"/>
      <c r="D11" s="104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5" t="s">
        <v>107</v>
      </c>
      <c r="C12" s="106"/>
      <c r="D12" s="107"/>
      <c r="E12" s="17">
        <f>E9-(E10-E11)</f>
        <v>-623354.92067364603</v>
      </c>
      <c r="F12" s="28" t="s">
        <v>3</v>
      </c>
      <c r="G12" s="17">
        <f>E12</f>
        <v>-623354.92067364603</v>
      </c>
      <c r="H12" s="28" t="s">
        <v>3</v>
      </c>
      <c r="I12" s="1"/>
    </row>
    <row r="13" spans="1:9" x14ac:dyDescent="0.25">
      <c r="A13" s="1"/>
      <c r="B13" s="45"/>
      <c r="C13" s="46"/>
      <c r="D13" s="46"/>
      <c r="E13" s="46"/>
      <c r="F13" s="46"/>
      <c r="G13" s="46"/>
      <c r="H13" s="47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9" t="s">
        <v>117</v>
      </c>
      <c r="C17" s="100"/>
      <c r="D17" s="100"/>
      <c r="E17" s="100"/>
      <c r="F17" s="100"/>
      <c r="G17" s="100"/>
      <c r="H17" s="101"/>
      <c r="I17" s="1"/>
    </row>
    <row r="18" spans="1:9" x14ac:dyDescent="0.25">
      <c r="A18" s="1"/>
      <c r="B18" s="96" t="s">
        <v>114</v>
      </c>
      <c r="C18" s="97"/>
      <c r="D18" s="98"/>
      <c r="E18" s="11">
        <f>IF(E12&lt;0,E12,0)</f>
        <v>-623354.92067364603</v>
      </c>
      <c r="F18" s="22" t="s">
        <v>3</v>
      </c>
      <c r="G18" s="14"/>
      <c r="H18" s="31"/>
      <c r="I18" s="1"/>
    </row>
    <row r="19" spans="1:9" x14ac:dyDescent="0.25">
      <c r="A19" s="1"/>
      <c r="B19" s="96" t="s">
        <v>115</v>
      </c>
      <c r="C19" s="97"/>
      <c r="D19" s="98"/>
      <c r="E19" s="11">
        <v>4</v>
      </c>
      <c r="F19" s="22" t="s">
        <v>42</v>
      </c>
      <c r="G19" s="14"/>
      <c r="H19" s="31"/>
      <c r="I19" s="1"/>
    </row>
    <row r="20" spans="1:9" x14ac:dyDescent="0.25">
      <c r="A20" s="1"/>
      <c r="B20" s="96" t="s">
        <v>116</v>
      </c>
      <c r="C20" s="97"/>
      <c r="D20" s="98"/>
      <c r="E20" s="11">
        <f>E18/E19</f>
        <v>-155838.73016841151</v>
      </c>
      <c r="F20" s="22" t="s">
        <v>3</v>
      </c>
      <c r="G20" s="14"/>
      <c r="H20" s="31"/>
      <c r="I20" s="1"/>
    </row>
    <row r="21" spans="1:9" x14ac:dyDescent="0.25">
      <c r="A21" s="1"/>
      <c r="B21" s="99" t="s">
        <v>118</v>
      </c>
      <c r="C21" s="100"/>
      <c r="D21" s="100"/>
      <c r="E21" s="100"/>
      <c r="F21" s="101"/>
      <c r="G21" s="20">
        <f>E20</f>
        <v>-155838.73016841151</v>
      </c>
      <c r="H21" s="21" t="s">
        <v>3</v>
      </c>
      <c r="I21" s="1"/>
    </row>
    <row r="22" spans="1:9" x14ac:dyDescent="0.25">
      <c r="A22" s="1"/>
      <c r="B22" s="99" t="s">
        <v>119</v>
      </c>
      <c r="C22" s="100"/>
      <c r="D22" s="100"/>
      <c r="E22" s="100"/>
      <c r="F22" s="101"/>
      <c r="G22" s="20">
        <f>G21*(1+Prisudvikling2019)^4</f>
        <v>-166643.50445352172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3" t="s">
        <v>141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142</v>
      </c>
      <c r="C8" s="100"/>
      <c r="D8" s="100"/>
      <c r="E8" s="100"/>
      <c r="F8" s="100"/>
      <c r="G8" s="100"/>
      <c r="H8" s="101"/>
      <c r="I8" s="1"/>
    </row>
    <row r="9" spans="1:9" ht="39" customHeight="1" x14ac:dyDescent="0.25">
      <c r="A9" s="1"/>
      <c r="B9" s="44" t="s">
        <v>0</v>
      </c>
      <c r="C9" s="44" t="s">
        <v>1</v>
      </c>
      <c r="D9" s="44" t="s">
        <v>109</v>
      </c>
      <c r="E9" s="18" t="s">
        <v>2</v>
      </c>
      <c r="F9" s="18" t="s">
        <v>88</v>
      </c>
      <c r="G9" s="18" t="s">
        <v>89</v>
      </c>
      <c r="H9" s="41"/>
      <c r="I9" s="1"/>
    </row>
    <row r="10" spans="1:9" ht="26.25" x14ac:dyDescent="0.25">
      <c r="A10" s="1"/>
      <c r="B10" s="34" t="s">
        <v>153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9" t="s">
        <v>143</v>
      </c>
      <c r="C11" s="100"/>
      <c r="D11" s="101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3" t="s">
        <v>93</v>
      </c>
      <c r="C3" s="93"/>
      <c r="D3" s="93"/>
      <c r="E3" s="93"/>
      <c r="F3" s="93"/>
      <c r="G3" s="93"/>
      <c r="H3" s="1"/>
    </row>
    <row r="4" spans="1:8" ht="15" customHeight="1" x14ac:dyDescent="0.25">
      <c r="A4" s="1"/>
      <c r="B4" s="93"/>
      <c r="C4" s="93"/>
      <c r="D4" s="93"/>
      <c r="E4" s="93"/>
      <c r="F4" s="93"/>
      <c r="G4" s="9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5" t="s">
        <v>44</v>
      </c>
      <c r="C8" s="46"/>
      <c r="D8" s="46"/>
      <c r="E8" s="46"/>
      <c r="F8" s="46"/>
      <c r="G8" s="47"/>
      <c r="H8" s="1"/>
    </row>
    <row r="9" spans="1:8" ht="15" customHeight="1" x14ac:dyDescent="0.25">
      <c r="A9" s="1"/>
      <c r="B9" s="32" t="s">
        <v>38</v>
      </c>
      <c r="C9" s="41"/>
      <c r="D9" s="32" t="s">
        <v>20</v>
      </c>
      <c r="E9" s="41"/>
      <c r="F9" s="32" t="s">
        <v>110</v>
      </c>
      <c r="G9" s="41"/>
      <c r="H9" s="1"/>
    </row>
    <row r="10" spans="1:8" x14ac:dyDescent="0.25">
      <c r="A10" s="1"/>
      <c r="B10" s="65" t="s">
        <v>142</v>
      </c>
      <c r="C10" s="66"/>
      <c r="D10" s="67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156</v>
      </c>
      <c r="C11" s="43"/>
      <c r="D11" s="35">
        <v>46113</v>
      </c>
      <c r="E11" s="22" t="s">
        <v>3</v>
      </c>
      <c r="F11" s="25">
        <v>45872</v>
      </c>
      <c r="G11" s="22" t="s">
        <v>3</v>
      </c>
      <c r="H11" s="1"/>
    </row>
    <row r="12" spans="1:8" x14ac:dyDescent="0.25">
      <c r="A12" s="1"/>
      <c r="B12" s="45" t="s">
        <v>146</v>
      </c>
      <c r="C12" s="47"/>
      <c r="D12" s="20">
        <f>SUM(D10:D11)</f>
        <v>46113</v>
      </c>
      <c r="E12" s="21" t="s">
        <v>3</v>
      </c>
      <c r="F12" s="20">
        <f>SUM(F10:F11)</f>
        <v>45872</v>
      </c>
      <c r="G12" s="21" t="s">
        <v>3</v>
      </c>
      <c r="H12" s="1"/>
    </row>
    <row r="13" spans="1:8" x14ac:dyDescent="0.25">
      <c r="A13" s="1"/>
      <c r="B13" s="45" t="s">
        <v>147</v>
      </c>
      <c r="C13" s="47"/>
      <c r="D13" s="20">
        <f>D12*(1+Prisudvikling2019)</f>
        <v>46892.309699999998</v>
      </c>
      <c r="E13" s="21" t="s">
        <v>3</v>
      </c>
      <c r="F13" s="20">
        <f>F12*(1+Prisudvikling2019)</f>
        <v>46647.236799999999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5" t="s">
        <v>162</v>
      </c>
      <c r="C3" s="95"/>
      <c r="D3" s="95"/>
      <c r="E3" s="95"/>
      <c r="F3" s="95"/>
      <c r="G3" s="1"/>
    </row>
    <row r="4" spans="1:7" ht="25.5" customHeight="1" x14ac:dyDescent="0.25">
      <c r="A4" s="1"/>
      <c r="B4" s="95"/>
      <c r="C4" s="95"/>
      <c r="D4" s="95"/>
      <c r="E4" s="95"/>
      <c r="F4" s="9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39</v>
      </c>
      <c r="C8" s="46"/>
      <c r="D8" s="46"/>
      <c r="E8" s="46"/>
      <c r="F8" s="47"/>
      <c r="G8" s="1"/>
    </row>
    <row r="9" spans="1:7" ht="15" customHeight="1" x14ac:dyDescent="0.25">
      <c r="A9" s="1"/>
      <c r="B9" s="32" t="s">
        <v>40</v>
      </c>
      <c r="C9" s="32" t="s">
        <v>20</v>
      </c>
      <c r="D9" s="41"/>
      <c r="E9" s="32" t="s">
        <v>110</v>
      </c>
      <c r="F9" s="41"/>
      <c r="G9" s="1"/>
    </row>
    <row r="10" spans="1:7" x14ac:dyDescent="0.25">
      <c r="A10" s="1"/>
      <c r="B10" s="27" t="s">
        <v>148</v>
      </c>
      <c r="C10" s="25">
        <v>323260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5" t="s">
        <v>144</v>
      </c>
      <c r="C11" s="20">
        <f>SUM(C10:C10)</f>
        <v>323260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5" t="s">
        <v>145</v>
      </c>
      <c r="C12" s="20">
        <f>C11*(1+Prisudvikling2019)</f>
        <v>328723.09399999998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163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5" t="s">
        <v>26</v>
      </c>
      <c r="C8" s="46"/>
      <c r="D8" s="46"/>
      <c r="E8" s="46"/>
      <c r="F8" s="47"/>
      <c r="G8" s="47"/>
      <c r="H8" s="1"/>
    </row>
    <row r="9" spans="1:8" x14ac:dyDescent="0.25">
      <c r="A9" s="1"/>
      <c r="B9" s="52" t="s">
        <v>52</v>
      </c>
      <c r="C9" s="53"/>
      <c r="D9" s="53"/>
      <c r="E9" s="54"/>
      <c r="F9" s="68">
        <v>1.2699999999999999E-2</v>
      </c>
      <c r="G9" s="69"/>
      <c r="H9" s="1"/>
    </row>
    <row r="10" spans="1:8" x14ac:dyDescent="0.25">
      <c r="A10" s="1"/>
      <c r="B10" s="52" t="s">
        <v>53</v>
      </c>
      <c r="C10" s="53"/>
      <c r="D10" s="53"/>
      <c r="E10" s="54"/>
      <c r="F10" s="68">
        <v>1.7500000000000002E-2</v>
      </c>
      <c r="G10" s="69"/>
      <c r="H10" s="1"/>
    </row>
    <row r="11" spans="1:8" x14ac:dyDescent="0.25">
      <c r="A11" s="1"/>
      <c r="B11" s="52" t="s">
        <v>54</v>
      </c>
      <c r="C11" s="53"/>
      <c r="D11" s="53"/>
      <c r="E11" s="54"/>
      <c r="F11" s="68">
        <v>1.6899999999999998E-2</v>
      </c>
      <c r="G11" s="69"/>
      <c r="H11" s="1"/>
    </row>
    <row r="12" spans="1:8" x14ac:dyDescent="0.25">
      <c r="A12" s="1"/>
      <c r="B12" s="45"/>
      <c r="C12" s="46"/>
      <c r="D12" s="46"/>
      <c r="E12" s="46"/>
      <c r="F12" s="47"/>
      <c r="G12" s="47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5" t="s">
        <v>14</v>
      </c>
      <c r="C15" s="46"/>
      <c r="D15" s="46"/>
      <c r="E15" s="46"/>
      <c r="F15" s="47"/>
      <c r="G15" s="47"/>
      <c r="H15" s="1"/>
    </row>
    <row r="16" spans="1:8" x14ac:dyDescent="0.25">
      <c r="A16" s="1"/>
      <c r="B16" s="52" t="s">
        <v>14</v>
      </c>
      <c r="C16" s="53"/>
      <c r="D16" s="53"/>
      <c r="E16" s="54"/>
      <c r="F16" s="68">
        <v>1.7000000000000001E-2</v>
      </c>
      <c r="G16" s="69"/>
      <c r="H16" s="1"/>
    </row>
    <row r="17" spans="1:8" x14ac:dyDescent="0.25">
      <c r="A17" s="1"/>
      <c r="B17" s="45"/>
      <c r="C17" s="46"/>
      <c r="D17" s="46"/>
      <c r="E17" s="46"/>
      <c r="F17" s="47"/>
      <c r="G17" s="47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46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24</v>
      </c>
      <c r="C8" s="46"/>
      <c r="D8" s="46"/>
      <c r="E8" s="46"/>
      <c r="F8" s="47"/>
      <c r="G8" s="1"/>
    </row>
    <row r="9" spans="1:7" ht="29.25" customHeight="1" x14ac:dyDescent="0.25">
      <c r="A9" s="1"/>
      <c r="B9" s="48" t="s">
        <v>59</v>
      </c>
      <c r="C9" s="7">
        <f>'Fane 3. Omkostninger i ØR2018'!G13</f>
        <v>4436400.4174867747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51" t="s">
        <v>49</v>
      </c>
      <c r="C10" s="7">
        <f>'Fane 3. Omkostninger i ØR2018'!G10</f>
        <v>502575.96008125006</v>
      </c>
      <c r="D10" s="8"/>
      <c r="E10" s="37"/>
      <c r="F10" s="13"/>
      <c r="G10" s="1"/>
    </row>
    <row r="11" spans="1:7" x14ac:dyDescent="0.25">
      <c r="A11" s="1"/>
      <c r="B11" s="49" t="s">
        <v>50</v>
      </c>
      <c r="C11" s="11">
        <f>SUM('Fane 10. Tillæg'!D13,'Fane 10. Tillæg'!F13)</f>
        <v>93539.546499999997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9" t="s">
        <v>51</v>
      </c>
      <c r="C12" s="11">
        <f>-SUM('Fane 11. Bortfald'!C12,'Fane 11. Bortfald'!E12)</f>
        <v>-328723.09399999998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9" t="s">
        <v>41</v>
      </c>
      <c r="C13" s="11">
        <f>(C9-C10)*Prisudvikling2017+C10*Prisudvikling2018+SUM(C11:C12)*Prisudvikling2019</f>
        <v>54780.047957722039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9" t="s">
        <v>14</v>
      </c>
      <c r="C14" s="11">
        <f>-SUM(C9,C11:C13)*GenereltKrav</f>
        <v>-72351.947605056455</v>
      </c>
      <c r="D14" s="8" t="s">
        <v>3</v>
      </c>
      <c r="E14" s="15"/>
      <c r="F14" s="16"/>
      <c r="G14" s="1"/>
    </row>
    <row r="15" spans="1:7" x14ac:dyDescent="0.25">
      <c r="A15" s="1"/>
      <c r="B15" s="50" t="s">
        <v>45</v>
      </c>
      <c r="C15" s="17">
        <f>SUM(C9,C11:C14)</f>
        <v>4183644.9703394407</v>
      </c>
      <c r="D15" s="18" t="s">
        <v>3</v>
      </c>
      <c r="E15" s="17">
        <f>C15</f>
        <v>4183644.9703394407</v>
      </c>
      <c r="F15" s="18" t="s">
        <v>3</v>
      </c>
      <c r="G15" s="1"/>
    </row>
    <row r="16" spans="1:7" x14ac:dyDescent="0.25">
      <c r="A16" s="1"/>
      <c r="B16" s="45" t="s">
        <v>157</v>
      </c>
      <c r="C16" s="46"/>
      <c r="D16" s="46"/>
      <c r="E16" s="46"/>
      <c r="F16" s="47"/>
      <c r="G16" s="1"/>
    </row>
    <row r="17" spans="1:7" x14ac:dyDescent="0.25">
      <c r="A17" s="1"/>
      <c r="B17" s="49" t="s">
        <v>158</v>
      </c>
      <c r="C17" s="25">
        <f>244083*1.0169*1.0169</f>
        <v>252402.71794562996</v>
      </c>
      <c r="D17" s="8" t="s">
        <v>3</v>
      </c>
      <c r="E17" s="12"/>
      <c r="F17" s="13"/>
      <c r="G17" s="1"/>
    </row>
    <row r="18" spans="1:7" x14ac:dyDescent="0.25">
      <c r="A18" s="1"/>
      <c r="B18" s="49" t="s">
        <v>159</v>
      </c>
      <c r="C18" s="11">
        <f>-C17*GenereltKrav</f>
        <v>-4290.8462050757098</v>
      </c>
      <c r="D18" s="8" t="s">
        <v>3</v>
      </c>
      <c r="E18" s="12"/>
      <c r="F18" s="13"/>
      <c r="G18" s="1"/>
    </row>
    <row r="19" spans="1:7" x14ac:dyDescent="0.25">
      <c r="A19" s="1"/>
      <c r="B19" s="32" t="s">
        <v>160</v>
      </c>
      <c r="C19" s="17">
        <f>SUM(C17:C18)</f>
        <v>248111.87174055426</v>
      </c>
      <c r="D19" s="18" t="s">
        <v>3</v>
      </c>
      <c r="E19" s="17">
        <f>C19</f>
        <v>248111.87174055426</v>
      </c>
      <c r="F19" s="18" t="s">
        <v>3</v>
      </c>
      <c r="G19" s="1"/>
    </row>
    <row r="20" spans="1:7" x14ac:dyDescent="0.25">
      <c r="A20" s="1"/>
      <c r="B20" s="45" t="s">
        <v>43</v>
      </c>
      <c r="C20" s="46"/>
      <c r="D20" s="46"/>
      <c r="E20" s="46"/>
      <c r="F20" s="47"/>
      <c r="G20" s="1"/>
    </row>
    <row r="21" spans="1:7" ht="15" customHeight="1" x14ac:dyDescent="0.25">
      <c r="A21" s="1"/>
      <c r="B21" s="49" t="s">
        <v>154</v>
      </c>
      <c r="C21" s="25">
        <v>0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9" t="s">
        <v>82</v>
      </c>
      <c r="C22" s="11">
        <f>-C21*GenereltKrav</f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83</v>
      </c>
      <c r="C23" s="17">
        <f>SUM(C21:C22)</f>
        <v>0</v>
      </c>
      <c r="D23" s="18" t="s">
        <v>3</v>
      </c>
      <c r="E23" s="17">
        <f>C23</f>
        <v>0</v>
      </c>
      <c r="F23" s="18" t="s">
        <v>3</v>
      </c>
      <c r="G23" s="1"/>
    </row>
    <row r="24" spans="1:7" x14ac:dyDescent="0.25">
      <c r="A24" s="1"/>
      <c r="B24" s="45" t="s">
        <v>21</v>
      </c>
      <c r="C24" s="46"/>
      <c r="D24" s="46"/>
      <c r="E24" s="46"/>
      <c r="F24" s="47"/>
      <c r="G24" s="1"/>
    </row>
    <row r="25" spans="1:7" ht="15" customHeight="1" x14ac:dyDescent="0.25">
      <c r="A25" s="1"/>
      <c r="B25" s="49" t="s">
        <v>21</v>
      </c>
      <c r="C25" s="11">
        <f>'Fane 5. Ikke-påvirkelige omk.'!E15</f>
        <v>2831190.9349650894</v>
      </c>
      <c r="D25" s="8" t="s">
        <v>3</v>
      </c>
      <c r="E25" s="12"/>
      <c r="F25" s="13"/>
      <c r="G25" s="1"/>
    </row>
    <row r="26" spans="1:7" ht="15" customHeight="1" x14ac:dyDescent="0.25">
      <c r="A26" s="1"/>
      <c r="B26" s="49" t="s">
        <v>85</v>
      </c>
      <c r="C26" s="25">
        <v>0</v>
      </c>
      <c r="D26" s="8" t="s">
        <v>3</v>
      </c>
      <c r="E26" s="12"/>
      <c r="F26" s="13"/>
      <c r="G26" s="1"/>
    </row>
    <row r="27" spans="1:7" ht="15" customHeight="1" x14ac:dyDescent="0.25">
      <c r="A27" s="1"/>
      <c r="B27" s="32" t="s">
        <v>86</v>
      </c>
      <c r="C27" s="17">
        <f>SUM(C25:C26)</f>
        <v>2831190.9349650894</v>
      </c>
      <c r="D27" s="18" t="s">
        <v>3</v>
      </c>
      <c r="E27" s="17">
        <f>C27</f>
        <v>2831190.9349650894</v>
      </c>
      <c r="F27" s="18" t="s">
        <v>3</v>
      </c>
      <c r="G27" s="1"/>
    </row>
    <row r="28" spans="1:7" ht="15" customHeight="1" x14ac:dyDescent="0.25">
      <c r="A28" s="1"/>
      <c r="B28" s="45" t="s">
        <v>87</v>
      </c>
      <c r="C28" s="46"/>
      <c r="D28" s="46"/>
      <c r="E28" s="46"/>
      <c r="F28" s="47"/>
      <c r="G28" s="1"/>
    </row>
    <row r="29" spans="1:7" ht="15" customHeight="1" x14ac:dyDescent="0.25">
      <c r="A29" s="1"/>
      <c r="B29" s="48" t="s">
        <v>61</v>
      </c>
      <c r="C29" s="70">
        <v>0</v>
      </c>
      <c r="D29" s="8" t="s">
        <v>3</v>
      </c>
      <c r="E29" s="9"/>
      <c r="F29" s="10"/>
      <c r="G29" s="1"/>
    </row>
    <row r="30" spans="1:7" ht="15" customHeight="1" x14ac:dyDescent="0.25">
      <c r="A30" s="1"/>
      <c r="B30" s="48" t="s">
        <v>62</v>
      </c>
      <c r="C30" s="70">
        <v>0</v>
      </c>
      <c r="D30" s="8" t="s">
        <v>3</v>
      </c>
      <c r="E30" s="38"/>
      <c r="F30" s="13"/>
      <c r="G30" s="1"/>
    </row>
    <row r="31" spans="1:7" ht="28.5" customHeight="1" x14ac:dyDescent="0.25">
      <c r="A31" s="1"/>
      <c r="B31" s="49" t="s">
        <v>63</v>
      </c>
      <c r="C31" s="70">
        <v>12540.244954309692</v>
      </c>
      <c r="D31" s="8" t="s">
        <v>3</v>
      </c>
      <c r="E31" s="37"/>
      <c r="F31" s="13"/>
      <c r="G31" s="1"/>
    </row>
    <row r="32" spans="1:7" ht="15" customHeight="1" x14ac:dyDescent="0.25">
      <c r="A32" s="1"/>
      <c r="B32" s="32" t="s">
        <v>64</v>
      </c>
      <c r="C32" s="17">
        <f>SUM(C29:C31)</f>
        <v>12540.244954309692</v>
      </c>
      <c r="D32" s="18" t="s">
        <v>3</v>
      </c>
      <c r="E32" s="17">
        <f>C32</f>
        <v>12540.244954309692</v>
      </c>
      <c r="F32" s="18" t="s">
        <v>3</v>
      </c>
      <c r="G32" s="1"/>
    </row>
    <row r="33" spans="1:7" x14ac:dyDescent="0.25">
      <c r="A33" s="1"/>
      <c r="B33" s="45" t="s">
        <v>15</v>
      </c>
      <c r="C33" s="46"/>
      <c r="D33" s="46"/>
      <c r="E33" s="46"/>
      <c r="F33" s="47"/>
      <c r="G33" s="1"/>
    </row>
    <row r="34" spans="1:7" ht="15" customHeight="1" x14ac:dyDescent="0.25">
      <c r="A34" s="1"/>
      <c r="B34" s="32" t="s">
        <v>23</v>
      </c>
      <c r="C34" s="17">
        <f>'Fane 7. Hist. over el. underdæk'!G13</f>
        <v>-511721</v>
      </c>
      <c r="D34" s="18" t="s">
        <v>3</v>
      </c>
      <c r="E34" s="17">
        <f>C34</f>
        <v>-511721</v>
      </c>
      <c r="F34" s="18" t="s">
        <v>3</v>
      </c>
      <c r="G34" s="1"/>
    </row>
    <row r="35" spans="1:7" x14ac:dyDescent="0.25">
      <c r="A35" s="1"/>
      <c r="B35" s="45" t="s">
        <v>35</v>
      </c>
      <c r="C35" s="46"/>
      <c r="D35" s="47"/>
      <c r="E35" s="20">
        <f>SUM(E15,E19,E23,E27,E32,E34)</f>
        <v>6763767.0219993936</v>
      </c>
      <c r="F35" s="21" t="s">
        <v>3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47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24</v>
      </c>
      <c r="C8" s="46"/>
      <c r="D8" s="46"/>
      <c r="E8" s="46"/>
      <c r="F8" s="47"/>
      <c r="G8" s="1"/>
    </row>
    <row r="9" spans="1:7" ht="15" customHeight="1" x14ac:dyDescent="0.25">
      <c r="A9" s="1"/>
      <c r="B9" s="48" t="s">
        <v>66</v>
      </c>
      <c r="C9" s="7">
        <f>'Fane 2.1. Økonomisk ramme 2019'!E15</f>
        <v>4183644.9703394407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9" t="s">
        <v>49</v>
      </c>
      <c r="C10" s="7">
        <f>'Fane 2.1. Økonomisk ramme 2019'!C10*(1+Prisudvikling2018)*(1-GenereltKrav)</f>
        <v>502677.73171316658</v>
      </c>
      <c r="D10" s="8" t="s">
        <v>3</v>
      </c>
      <c r="E10" s="37"/>
      <c r="F10" s="13"/>
      <c r="G10" s="1"/>
    </row>
    <row r="11" spans="1:7" ht="15" customHeight="1" x14ac:dyDescent="0.25">
      <c r="A11" s="1"/>
      <c r="B11" s="49" t="s">
        <v>67</v>
      </c>
      <c r="C11" s="7">
        <f>SUM('Fane 2.1. Økonomisk ramme 2019'!C11:C12)*(1+Prisudvikling2019)*(1-GenereltKrav)</f>
        <v>-235092.46091205321</v>
      </c>
      <c r="D11" s="8" t="s">
        <v>3</v>
      </c>
      <c r="E11" s="37"/>
      <c r="F11" s="13"/>
      <c r="G11" s="1"/>
    </row>
    <row r="12" spans="1:7" ht="15" customHeight="1" x14ac:dyDescent="0.25">
      <c r="A12" s="1"/>
      <c r="B12" s="49" t="s">
        <v>41</v>
      </c>
      <c r="C12" s="11">
        <f>(C9-C10-C11)*Prisudvikling2017+C10*Prisudvikling2018+C11*Prisudvikling2019</f>
        <v>54557.755899703472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9" t="s">
        <v>14</v>
      </c>
      <c r="C13" s="11">
        <f>-SUM(C9,C12)*GenereltKrav</f>
        <v>-72049.446346065452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50" t="s">
        <v>45</v>
      </c>
      <c r="C14" s="17">
        <f>SUM(C9,C12:C13)</f>
        <v>4166153.2798930784</v>
      </c>
      <c r="D14" s="18" t="s">
        <v>3</v>
      </c>
      <c r="E14" s="17">
        <f>C14</f>
        <v>4166153.2798930784</v>
      </c>
      <c r="F14" s="18" t="s">
        <v>3</v>
      </c>
      <c r="G14" s="1"/>
    </row>
    <row r="15" spans="1:7" ht="15" customHeight="1" x14ac:dyDescent="0.25">
      <c r="A15" s="1"/>
      <c r="B15" s="45" t="s">
        <v>43</v>
      </c>
      <c r="C15" s="46"/>
      <c r="D15" s="46"/>
      <c r="E15" s="46"/>
      <c r="F15" s="47"/>
      <c r="G15" s="1"/>
    </row>
    <row r="16" spans="1:7" ht="15" customHeight="1" x14ac:dyDescent="0.25">
      <c r="A16" s="1"/>
      <c r="B16" s="49" t="s">
        <v>154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9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5" t="s">
        <v>21</v>
      </c>
      <c r="C19" s="46"/>
      <c r="D19" s="46"/>
      <c r="E19" s="46"/>
      <c r="F19" s="47"/>
      <c r="G19" s="1"/>
    </row>
    <row r="20" spans="1:7" ht="14.25" customHeight="1" x14ac:dyDescent="0.25">
      <c r="A20" s="1"/>
      <c r="B20" s="49" t="s">
        <v>21</v>
      </c>
      <c r="C20" s="11">
        <f>'Fane 5. Ikke-påvirkelige omk.'!E15*(1+Prisudvikling2019)</f>
        <v>2879038.0617659991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9" t="s">
        <v>85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86</v>
      </c>
      <c r="C22" s="17">
        <f>SUM(C20:C21)</f>
        <v>2879038.0617659991</v>
      </c>
      <c r="D22" s="18" t="s">
        <v>3</v>
      </c>
      <c r="E22" s="17">
        <f>C22</f>
        <v>2879038.0617659991</v>
      </c>
      <c r="F22" s="18" t="s">
        <v>3</v>
      </c>
      <c r="G22" s="1"/>
    </row>
    <row r="23" spans="1:7" x14ac:dyDescent="0.25">
      <c r="A23" s="1"/>
      <c r="B23" s="45" t="s">
        <v>15</v>
      </c>
      <c r="C23" s="46"/>
      <c r="D23" s="46"/>
      <c r="E23" s="46"/>
      <c r="F23" s="47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-511721</v>
      </c>
      <c r="D24" s="18" t="s">
        <v>3</v>
      </c>
      <c r="E24" s="17">
        <f>C24</f>
        <v>-511721</v>
      </c>
      <c r="F24" s="18" t="s">
        <v>3</v>
      </c>
      <c r="G24" s="1"/>
    </row>
    <row r="25" spans="1:7" x14ac:dyDescent="0.25">
      <c r="A25" s="1"/>
      <c r="B25" s="45" t="s">
        <v>68</v>
      </c>
      <c r="C25" s="46"/>
      <c r="D25" s="47"/>
      <c r="E25" s="20">
        <f>SUM(E14,E18,E22,E24)</f>
        <v>6533470.3416590774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90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4" t="s">
        <v>48</v>
      </c>
      <c r="C5" s="94"/>
      <c r="D5" s="94"/>
      <c r="E5" s="94"/>
      <c r="F5" s="9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24</v>
      </c>
      <c r="C8" s="46"/>
      <c r="D8" s="46"/>
      <c r="E8" s="46"/>
      <c r="F8" s="47"/>
      <c r="G8" s="1"/>
    </row>
    <row r="9" spans="1:7" ht="15" customHeight="1" x14ac:dyDescent="0.25">
      <c r="A9" s="1"/>
      <c r="B9" s="52" t="s">
        <v>69</v>
      </c>
      <c r="C9" s="7">
        <f>'Fane 2.2. Økonomisk ramme 2020'!E14</f>
        <v>4166153.2798930784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27</v>
      </c>
      <c r="C10" s="7">
        <f>'Fane 4. Korrigeret grundlag'!G24</f>
        <v>226305.92151748232</v>
      </c>
      <c r="D10" s="8" t="s">
        <v>3</v>
      </c>
      <c r="E10" s="37"/>
      <c r="F10" s="13"/>
      <c r="G10" s="1"/>
    </row>
    <row r="11" spans="1:7" ht="15" customHeight="1" x14ac:dyDescent="0.25">
      <c r="A11" s="1"/>
      <c r="B11" s="49" t="s">
        <v>41</v>
      </c>
      <c r="C11" s="11">
        <f>SUM(C9:C10)*Prisudvikling2019</f>
        <v>74232.560503838467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9" t="s">
        <v>14</v>
      </c>
      <c r="C12" s="11">
        <f>-SUM(C9:C11)*GenereltKrav</f>
        <v>-75933.759952544802</v>
      </c>
      <c r="D12" s="8" t="s">
        <v>3</v>
      </c>
      <c r="E12" s="15"/>
      <c r="F12" s="16"/>
      <c r="G12" s="1"/>
    </row>
    <row r="13" spans="1:7" x14ac:dyDescent="0.25">
      <c r="A13" s="1"/>
      <c r="B13" s="50" t="s">
        <v>45</v>
      </c>
      <c r="C13" s="17">
        <f>SUM(C9:C12)</f>
        <v>4390758.0019618543</v>
      </c>
      <c r="D13" s="18" t="s">
        <v>3</v>
      </c>
      <c r="E13" s="17">
        <f>C13</f>
        <v>4390758.0019618543</v>
      </c>
      <c r="F13" s="18" t="s">
        <v>3</v>
      </c>
      <c r="G13" s="1"/>
    </row>
    <row r="14" spans="1:7" x14ac:dyDescent="0.25">
      <c r="A14" s="1"/>
      <c r="B14" s="45" t="s">
        <v>43</v>
      </c>
      <c r="C14" s="46"/>
      <c r="D14" s="46"/>
      <c r="E14" s="46"/>
      <c r="F14" s="47"/>
      <c r="G14" s="1"/>
    </row>
    <row r="15" spans="1:7" ht="15" customHeight="1" x14ac:dyDescent="0.25">
      <c r="A15" s="1"/>
      <c r="B15" s="49" t="s">
        <v>154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9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5" t="s">
        <v>21</v>
      </c>
      <c r="C18" s="46"/>
      <c r="D18" s="46"/>
      <c r="E18" s="46"/>
      <c r="F18" s="47"/>
      <c r="G18" s="1"/>
    </row>
    <row r="19" spans="1:7" ht="15" customHeight="1" x14ac:dyDescent="0.25">
      <c r="A19" s="1"/>
      <c r="B19" s="49" t="s">
        <v>21</v>
      </c>
      <c r="C19" s="11">
        <f>'Fane 5. Ikke-påvirkelige omk.'!E15*(1+Prisudvikling2019)^2</f>
        <v>2927693.8050098442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9" t="s">
        <v>85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86</v>
      </c>
      <c r="C21" s="17">
        <f>SUM(C19:C20)</f>
        <v>2927693.8050098442</v>
      </c>
      <c r="D21" s="18" t="s">
        <v>3</v>
      </c>
      <c r="E21" s="17">
        <f>C21</f>
        <v>2927693.8050098442</v>
      </c>
      <c r="F21" s="18" t="s">
        <v>3</v>
      </c>
      <c r="G21" s="1"/>
    </row>
    <row r="22" spans="1:7" x14ac:dyDescent="0.25">
      <c r="A22" s="1"/>
      <c r="B22" s="45" t="s">
        <v>124</v>
      </c>
      <c r="C22" s="46"/>
      <c r="D22" s="46"/>
      <c r="E22" s="46"/>
      <c r="F22" s="47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106199.90546489187</v>
      </c>
      <c r="D23" s="18" t="s">
        <v>3</v>
      </c>
      <c r="E23" s="17">
        <f>C23</f>
        <v>106199.90546489187</v>
      </c>
      <c r="F23" s="18" t="s">
        <v>3</v>
      </c>
      <c r="G23" s="1"/>
    </row>
    <row r="24" spans="1:7" x14ac:dyDescent="0.25">
      <c r="A24" s="1"/>
      <c r="B24" s="45" t="s">
        <v>121</v>
      </c>
      <c r="C24" s="46"/>
      <c r="D24" s="46"/>
      <c r="E24" s="46"/>
      <c r="F24" s="47"/>
      <c r="G24" s="1"/>
    </row>
    <row r="25" spans="1:7" ht="15" customHeight="1" x14ac:dyDescent="0.25">
      <c r="A25" s="1"/>
      <c r="B25" s="48" t="s">
        <v>122</v>
      </c>
      <c r="C25" s="11">
        <f>'Fane 6. Korrektion prisloft 16'!G22</f>
        <v>-73773.670841072017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8" t="s">
        <v>120</v>
      </c>
      <c r="C26" s="11">
        <f>'Fane 8. Kontrol af ØR2017'!G22</f>
        <v>-166643.50445352172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64">
        <f>SUM(C25:C26)</f>
        <v>-240417.17529459373</v>
      </c>
      <c r="D27" s="41" t="s">
        <v>3</v>
      </c>
      <c r="E27" s="17">
        <f>C27</f>
        <v>-240417.17529459373</v>
      </c>
      <c r="F27" s="18" t="s">
        <v>3</v>
      </c>
      <c r="G27" s="1"/>
    </row>
    <row r="28" spans="1:7" x14ac:dyDescent="0.25">
      <c r="A28" s="1"/>
      <c r="B28" s="45" t="s">
        <v>84</v>
      </c>
      <c r="C28" s="46"/>
      <c r="D28" s="47"/>
      <c r="E28" s="20">
        <f>SUM(E13,E17,E21,E23,E27)</f>
        <v>7184234.5371419974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91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4" t="s">
        <v>48</v>
      </c>
      <c r="C5" s="94"/>
      <c r="D5" s="94"/>
      <c r="E5" s="94"/>
      <c r="F5" s="9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24</v>
      </c>
      <c r="C8" s="46"/>
      <c r="D8" s="46"/>
      <c r="E8" s="46"/>
      <c r="F8" s="47"/>
      <c r="G8" s="1"/>
    </row>
    <row r="9" spans="1:7" ht="15" customHeight="1" x14ac:dyDescent="0.25">
      <c r="A9" s="1"/>
      <c r="B9" s="48" t="s">
        <v>79</v>
      </c>
      <c r="C9" s="7">
        <f>'Fane 2.3. Økonomisk ramme 2021'!E13</f>
        <v>4390758.0019618543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9" t="s">
        <v>41</v>
      </c>
      <c r="C10" s="11">
        <f>C9*Prisudvikling2019</f>
        <v>74203.810233155324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9" t="s">
        <v>14</v>
      </c>
      <c r="C11" s="11">
        <f>-SUM(C9:C10)*GenereltKrav</f>
        <v>-75904.350807315161</v>
      </c>
      <c r="D11" s="8" t="s">
        <v>3</v>
      </c>
      <c r="E11" s="15"/>
      <c r="F11" s="16"/>
      <c r="G11" s="1"/>
    </row>
    <row r="12" spans="1:7" x14ac:dyDescent="0.25">
      <c r="A12" s="1"/>
      <c r="B12" s="50" t="s">
        <v>45</v>
      </c>
      <c r="C12" s="17">
        <f>SUM(C9:C11)</f>
        <v>4389057.4613876948</v>
      </c>
      <c r="D12" s="18" t="s">
        <v>3</v>
      </c>
      <c r="E12" s="17">
        <f>C12</f>
        <v>4389057.4613876948</v>
      </c>
      <c r="F12" s="18" t="s">
        <v>3</v>
      </c>
      <c r="G12" s="1"/>
    </row>
    <row r="13" spans="1:7" x14ac:dyDescent="0.25">
      <c r="A13" s="1"/>
      <c r="B13" s="45" t="s">
        <v>43</v>
      </c>
      <c r="C13" s="46"/>
      <c r="D13" s="46"/>
      <c r="E13" s="46"/>
      <c r="F13" s="47"/>
      <c r="G13" s="1"/>
    </row>
    <row r="14" spans="1:7" ht="15" customHeight="1" x14ac:dyDescent="0.25">
      <c r="A14" s="1"/>
      <c r="B14" s="49" t="s">
        <v>154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9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5" t="s">
        <v>21</v>
      </c>
      <c r="C17" s="46"/>
      <c r="D17" s="46"/>
      <c r="E17" s="46"/>
      <c r="F17" s="47"/>
      <c r="G17" s="1"/>
    </row>
    <row r="18" spans="1:7" ht="15" customHeight="1" x14ac:dyDescent="0.25">
      <c r="A18" s="1"/>
      <c r="B18" s="49" t="s">
        <v>21</v>
      </c>
      <c r="C18" s="11">
        <f>'Fane 5. Ikke-påvirkelige omk.'!E15*(1+Prisudvikling2019)^3</f>
        <v>2977171.83031451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9" t="s">
        <v>85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86</v>
      </c>
      <c r="C20" s="17">
        <f>SUM(C18:C19)</f>
        <v>2977171.83031451</v>
      </c>
      <c r="D20" s="18" t="s">
        <v>3</v>
      </c>
      <c r="E20" s="17">
        <f>C20</f>
        <v>2977171.83031451</v>
      </c>
      <c r="F20" s="18" t="s">
        <v>3</v>
      </c>
      <c r="G20" s="1"/>
    </row>
    <row r="21" spans="1:7" x14ac:dyDescent="0.25">
      <c r="A21" s="1"/>
      <c r="B21" s="45" t="s">
        <v>124</v>
      </c>
      <c r="C21" s="46"/>
      <c r="D21" s="46"/>
      <c r="E21" s="46"/>
      <c r="F21" s="47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107994.68386724853</v>
      </c>
      <c r="D22" s="18" t="s">
        <v>3</v>
      </c>
      <c r="E22" s="17">
        <f>C22</f>
        <v>107994.68386724853</v>
      </c>
      <c r="F22" s="18" t="s">
        <v>3</v>
      </c>
      <c r="G22" s="1"/>
    </row>
    <row r="23" spans="1:7" ht="15" customHeight="1" x14ac:dyDescent="0.25">
      <c r="A23" s="1"/>
      <c r="B23" s="45" t="s">
        <v>121</v>
      </c>
      <c r="C23" s="46"/>
      <c r="D23" s="46"/>
      <c r="E23" s="46"/>
      <c r="F23" s="47"/>
      <c r="G23" s="1"/>
    </row>
    <row r="24" spans="1:7" ht="15" customHeight="1" x14ac:dyDescent="0.25">
      <c r="A24" s="1"/>
      <c r="B24" s="48" t="s">
        <v>122</v>
      </c>
      <c r="C24" s="11">
        <f>'Fane 2.3. Økonomisk ramme 2021'!C25*(1+Prisudvikling2019)</f>
        <v>-75020.445878286133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8" t="s">
        <v>120</v>
      </c>
      <c r="C25" s="11">
        <f>'Fane 2.3. Økonomisk ramme 2021'!C26*(1+Prisudvikling2019)</f>
        <v>-169459.77967878623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161</v>
      </c>
      <c r="C26" s="64">
        <f>SUM(C24:C25)</f>
        <v>-244480.22555707238</v>
      </c>
      <c r="D26" s="41" t="s">
        <v>3</v>
      </c>
      <c r="E26" s="17">
        <f>C26</f>
        <v>-244480.22555707238</v>
      </c>
      <c r="F26" s="18" t="s">
        <v>3</v>
      </c>
      <c r="G26" s="1"/>
    </row>
    <row r="27" spans="1:7" x14ac:dyDescent="0.25">
      <c r="A27" s="1"/>
      <c r="B27" s="45" t="s">
        <v>78</v>
      </c>
      <c r="C27" s="46"/>
      <c r="D27" s="47"/>
      <c r="E27" s="20">
        <f>SUM(E12,E16,E20,E22,E26)</f>
        <v>7229743.7500123819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92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5" t="s">
        <v>59</v>
      </c>
      <c r="C8" s="46"/>
      <c r="D8" s="46"/>
      <c r="E8" s="46"/>
      <c r="F8" s="46"/>
      <c r="G8" s="46"/>
      <c r="H8" s="47"/>
      <c r="I8" s="1"/>
    </row>
    <row r="9" spans="1:9" x14ac:dyDescent="0.25">
      <c r="A9" s="1"/>
      <c r="B9" s="52" t="s">
        <v>34</v>
      </c>
      <c r="C9" s="53"/>
      <c r="D9" s="53"/>
      <c r="E9" s="53"/>
      <c r="F9" s="54"/>
      <c r="G9" s="25">
        <v>7006999.9263707707</v>
      </c>
      <c r="H9" s="22" t="s">
        <v>3</v>
      </c>
      <c r="I9" s="1"/>
    </row>
    <row r="10" spans="1:9" x14ac:dyDescent="0.25">
      <c r="A10" s="1"/>
      <c r="B10" s="51" t="s">
        <v>60</v>
      </c>
      <c r="C10" s="53"/>
      <c r="D10" s="53"/>
      <c r="E10" s="53"/>
      <c r="F10" s="54"/>
      <c r="G10" s="25">
        <v>502575.96008125006</v>
      </c>
      <c r="H10" s="22" t="s">
        <v>3</v>
      </c>
      <c r="I10" s="1"/>
    </row>
    <row r="11" spans="1:9" x14ac:dyDescent="0.25">
      <c r="A11" s="1"/>
      <c r="B11" s="51" t="s">
        <v>57</v>
      </c>
      <c r="C11" s="53"/>
      <c r="D11" s="53"/>
      <c r="E11" s="53"/>
      <c r="F11" s="54"/>
      <c r="G11" s="25">
        <v>2570599.5088839959</v>
      </c>
      <c r="H11" s="22" t="s">
        <v>3</v>
      </c>
      <c r="I11" s="1"/>
    </row>
    <row r="12" spans="1:9" x14ac:dyDescent="0.25">
      <c r="A12" s="1"/>
      <c r="B12" s="51" t="s">
        <v>58</v>
      </c>
      <c r="C12" s="53"/>
      <c r="D12" s="53"/>
      <c r="E12" s="53"/>
      <c r="F12" s="54"/>
      <c r="G12" s="25">
        <v>0</v>
      </c>
      <c r="H12" s="22" t="s">
        <v>3</v>
      </c>
      <c r="I12" s="1"/>
    </row>
    <row r="13" spans="1:9" ht="26.25" customHeight="1" x14ac:dyDescent="0.25">
      <c r="A13" s="1"/>
      <c r="B13" s="55" t="s">
        <v>80</v>
      </c>
      <c r="C13" s="56"/>
      <c r="D13" s="56"/>
      <c r="E13" s="56"/>
      <c r="F13" s="57"/>
      <c r="G13" s="39">
        <f>G9-G11-G12</f>
        <v>4436400.4174867747</v>
      </c>
      <c r="H13" s="40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138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5" t="s">
        <v>70</v>
      </c>
      <c r="C8" s="46"/>
      <c r="D8" s="46"/>
      <c r="E8" s="46"/>
      <c r="F8" s="46"/>
      <c r="G8" s="46"/>
      <c r="H8" s="47"/>
      <c r="I8" s="1"/>
    </row>
    <row r="9" spans="1:9" x14ac:dyDescent="0.25">
      <c r="A9" s="1"/>
      <c r="B9" s="52" t="s">
        <v>71</v>
      </c>
      <c r="C9" s="53"/>
      <c r="D9" s="53"/>
      <c r="E9" s="53"/>
      <c r="F9" s="54"/>
      <c r="G9" s="25">
        <v>1782908.9256353125</v>
      </c>
      <c r="H9" s="22" t="s">
        <v>3</v>
      </c>
      <c r="I9" s="1"/>
    </row>
    <row r="10" spans="1:9" x14ac:dyDescent="0.25">
      <c r="A10" s="1"/>
      <c r="B10" s="52" t="s">
        <v>72</v>
      </c>
      <c r="C10" s="53"/>
      <c r="D10" s="53"/>
      <c r="E10" s="53"/>
      <c r="F10" s="54"/>
      <c r="G10" s="25">
        <v>2245838.1959408154</v>
      </c>
      <c r="H10" s="22" t="s">
        <v>3</v>
      </c>
      <c r="I10" s="1"/>
    </row>
    <row r="11" spans="1:9" ht="26.25" customHeight="1" x14ac:dyDescent="0.25">
      <c r="A11" s="1"/>
      <c r="B11" s="55" t="s">
        <v>73</v>
      </c>
      <c r="C11" s="56"/>
      <c r="D11" s="56"/>
      <c r="E11" s="56"/>
      <c r="F11" s="57"/>
      <c r="G11" s="39">
        <f>SUM(G9:G10)</f>
        <v>4028747.1215761276</v>
      </c>
      <c r="H11" s="40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5" t="s">
        <v>74</v>
      </c>
      <c r="C14" s="46"/>
      <c r="D14" s="46"/>
      <c r="E14" s="46"/>
      <c r="F14" s="46"/>
      <c r="G14" s="46"/>
      <c r="H14" s="47"/>
      <c r="I14" s="1"/>
    </row>
    <row r="15" spans="1:9" x14ac:dyDescent="0.25">
      <c r="A15" s="1"/>
      <c r="B15" s="52" t="s">
        <v>36</v>
      </c>
      <c r="C15" s="53"/>
      <c r="D15" s="53"/>
      <c r="E15" s="53"/>
      <c r="F15" s="54"/>
      <c r="G15" s="25">
        <v>1782908.9256353125</v>
      </c>
      <c r="H15" s="22" t="s">
        <v>3</v>
      </c>
      <c r="I15" s="1"/>
    </row>
    <row r="16" spans="1:9" x14ac:dyDescent="0.25">
      <c r="A16" s="1"/>
      <c r="B16" s="52" t="s">
        <v>37</v>
      </c>
      <c r="C16" s="53"/>
      <c r="D16" s="53"/>
      <c r="E16" s="53"/>
      <c r="F16" s="54"/>
      <c r="G16" s="25">
        <v>2461047.5657881484</v>
      </c>
      <c r="H16" s="22" t="s">
        <v>3</v>
      </c>
      <c r="I16" s="1"/>
    </row>
    <row r="17" spans="1:9" ht="26.25" customHeight="1" x14ac:dyDescent="0.25">
      <c r="A17" s="1"/>
      <c r="B17" s="55" t="s">
        <v>75</v>
      </c>
      <c r="C17" s="56"/>
      <c r="D17" s="56"/>
      <c r="E17" s="56"/>
      <c r="F17" s="57"/>
      <c r="G17" s="39">
        <f>SUM(G15:G16)</f>
        <v>4243956.4914234607</v>
      </c>
      <c r="H17" s="40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5" t="s">
        <v>27</v>
      </c>
      <c r="C20" s="46"/>
      <c r="D20" s="46"/>
      <c r="E20" s="46"/>
      <c r="F20" s="46"/>
      <c r="G20" s="46"/>
      <c r="H20" s="47"/>
      <c r="I20" s="1"/>
    </row>
    <row r="21" spans="1:9" x14ac:dyDescent="0.25">
      <c r="A21" s="1"/>
      <c r="B21" s="52" t="s">
        <v>76</v>
      </c>
      <c r="C21" s="53"/>
      <c r="D21" s="53"/>
      <c r="E21" s="53"/>
      <c r="F21" s="54"/>
      <c r="G21" s="11">
        <f>G15-G9</f>
        <v>0</v>
      </c>
      <c r="H21" s="22" t="s">
        <v>3</v>
      </c>
      <c r="I21" s="1"/>
    </row>
    <row r="22" spans="1:9" x14ac:dyDescent="0.25">
      <c r="A22" s="1"/>
      <c r="B22" s="52" t="s">
        <v>77</v>
      </c>
      <c r="C22" s="53"/>
      <c r="D22" s="53"/>
      <c r="E22" s="53"/>
      <c r="F22" s="54"/>
      <c r="G22" s="11">
        <f>G16-G10</f>
        <v>215209.36984733306</v>
      </c>
      <c r="H22" s="22" t="s">
        <v>3</v>
      </c>
      <c r="I22" s="1"/>
    </row>
    <row r="23" spans="1:9" ht="15" customHeight="1" x14ac:dyDescent="0.25">
      <c r="A23" s="1"/>
      <c r="B23" s="55" t="s">
        <v>139</v>
      </c>
      <c r="C23" s="56"/>
      <c r="D23" s="56"/>
      <c r="E23" s="56"/>
      <c r="F23" s="57"/>
      <c r="G23" s="20">
        <f>SUM(G21:G22)</f>
        <v>215209.36984733306</v>
      </c>
      <c r="H23" s="21" t="s">
        <v>3</v>
      </c>
      <c r="I23" s="1"/>
    </row>
    <row r="24" spans="1:9" ht="15" customHeight="1" x14ac:dyDescent="0.25">
      <c r="A24" s="1"/>
      <c r="B24" s="55" t="s">
        <v>140</v>
      </c>
      <c r="C24" s="56"/>
      <c r="D24" s="56"/>
      <c r="E24" s="56"/>
      <c r="F24" s="57"/>
      <c r="G24" s="20">
        <f>G23*(1+Prisudvikling2019)^3</f>
        <v>226305.92151748232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3" t="s">
        <v>111</v>
      </c>
      <c r="C26" s="63"/>
      <c r="D26" s="63"/>
      <c r="E26" s="63"/>
      <c r="F26" s="63"/>
      <c r="G26" s="63"/>
      <c r="H26" s="63"/>
      <c r="I26" s="1"/>
    </row>
    <row r="27" spans="1:9" ht="26.25" x14ac:dyDescent="0.25">
      <c r="A27" s="1"/>
      <c r="B27" s="63" t="s">
        <v>155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3" t="s">
        <v>133</v>
      </c>
      <c r="C3" s="93"/>
      <c r="D3" s="93"/>
      <c r="E3" s="93"/>
      <c r="F3" s="93"/>
      <c r="G3" s="1"/>
      <c r="H3" s="1"/>
    </row>
    <row r="4" spans="1:8" ht="15" customHeight="1" x14ac:dyDescent="0.25">
      <c r="A4" s="1"/>
      <c r="B4" s="93"/>
      <c r="C4" s="93"/>
      <c r="D4" s="93"/>
      <c r="E4" s="93"/>
      <c r="F4" s="93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5" t="s">
        <v>81</v>
      </c>
      <c r="C8" s="46"/>
      <c r="D8" s="46"/>
      <c r="E8" s="46"/>
      <c r="F8" s="47"/>
      <c r="G8" s="1"/>
      <c r="H8" s="1"/>
    </row>
    <row r="9" spans="1:8" ht="15" customHeight="1" x14ac:dyDescent="0.25">
      <c r="A9" s="1"/>
      <c r="B9" s="32" t="s">
        <v>108</v>
      </c>
      <c r="C9" s="33"/>
      <c r="D9" s="41"/>
      <c r="E9" s="18" t="s">
        <v>56</v>
      </c>
      <c r="F9" s="18"/>
      <c r="G9" s="1"/>
      <c r="H9" s="1"/>
    </row>
    <row r="10" spans="1:8" x14ac:dyDescent="0.25">
      <c r="A10" s="1"/>
      <c r="B10" s="71" t="s">
        <v>149</v>
      </c>
      <c r="C10" s="58"/>
      <c r="D10" s="59"/>
      <c r="E10" s="25">
        <v>2617088</v>
      </c>
      <c r="F10" s="22" t="s">
        <v>3</v>
      </c>
      <c r="G10" s="1"/>
      <c r="H10" s="1"/>
    </row>
    <row r="11" spans="1:8" x14ac:dyDescent="0.25">
      <c r="A11" s="1"/>
      <c r="B11" s="71" t="s">
        <v>150</v>
      </c>
      <c r="C11" s="58"/>
      <c r="D11" s="59"/>
      <c r="E11" s="25">
        <v>5361</v>
      </c>
      <c r="F11" s="22" t="s">
        <v>3</v>
      </c>
      <c r="G11" s="1"/>
      <c r="H11" s="1"/>
    </row>
    <row r="12" spans="1:8" x14ac:dyDescent="0.25">
      <c r="A12" s="1"/>
      <c r="B12" s="71" t="s">
        <v>151</v>
      </c>
      <c r="C12" s="58"/>
      <c r="D12" s="59"/>
      <c r="E12" s="25">
        <v>7598</v>
      </c>
      <c r="F12" s="22" t="s">
        <v>3</v>
      </c>
      <c r="G12" s="1"/>
      <c r="H12" s="1"/>
    </row>
    <row r="13" spans="1:8" x14ac:dyDescent="0.25">
      <c r="A13" s="1"/>
      <c r="B13" s="71" t="s">
        <v>152</v>
      </c>
      <c r="C13" s="58"/>
      <c r="D13" s="59"/>
      <c r="E13" s="25">
        <v>107822</v>
      </c>
      <c r="F13" s="22" t="s">
        <v>3</v>
      </c>
      <c r="G13" s="1"/>
      <c r="H13" s="1"/>
    </row>
    <row r="14" spans="1:8" x14ac:dyDescent="0.25">
      <c r="A14" s="1"/>
      <c r="B14" s="45" t="s">
        <v>136</v>
      </c>
      <c r="C14" s="46"/>
      <c r="D14" s="47"/>
      <c r="E14" s="20">
        <f>SUM(E10:E13)</f>
        <v>2737869</v>
      </c>
      <c r="F14" s="21" t="s">
        <v>3</v>
      </c>
      <c r="G14" s="1"/>
      <c r="H14" s="1"/>
    </row>
    <row r="15" spans="1:8" x14ac:dyDescent="0.25">
      <c r="A15" s="1"/>
      <c r="B15" s="45" t="s">
        <v>137</v>
      </c>
      <c r="C15" s="46"/>
      <c r="D15" s="47"/>
      <c r="E15" s="20">
        <f>E14*(1+Prisudvikling2019)^2</f>
        <v>2831190.9349650894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128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124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2" t="s">
        <v>33</v>
      </c>
      <c r="C9" s="103"/>
      <c r="D9" s="104"/>
      <c r="E9" s="25">
        <v>390424.18666666665</v>
      </c>
      <c r="F9" s="22" t="s">
        <v>3</v>
      </c>
      <c r="G9" s="19"/>
      <c r="H9" s="30"/>
      <c r="I9" s="1"/>
    </row>
    <row r="10" spans="1:9" x14ac:dyDescent="0.25">
      <c r="A10" s="1"/>
      <c r="B10" s="96" t="s">
        <v>115</v>
      </c>
      <c r="C10" s="97"/>
      <c r="D10" s="98"/>
      <c r="E10" s="11">
        <v>4</v>
      </c>
      <c r="F10" s="22" t="s">
        <v>42</v>
      </c>
      <c r="G10" s="14"/>
      <c r="H10" s="31"/>
      <c r="I10" s="1"/>
    </row>
    <row r="11" spans="1:9" x14ac:dyDescent="0.25">
      <c r="A11" s="1"/>
      <c r="B11" s="96" t="s">
        <v>125</v>
      </c>
      <c r="C11" s="97"/>
      <c r="D11" s="98"/>
      <c r="E11" s="11">
        <f>E9/E10</f>
        <v>97606.046666666662</v>
      </c>
      <c r="F11" s="22" t="s">
        <v>3</v>
      </c>
      <c r="G11" s="14"/>
      <c r="H11" s="31"/>
      <c r="I11" s="1"/>
    </row>
    <row r="12" spans="1:9" x14ac:dyDescent="0.25">
      <c r="A12" s="1"/>
      <c r="B12" s="99" t="s">
        <v>131</v>
      </c>
      <c r="C12" s="100"/>
      <c r="D12" s="100"/>
      <c r="E12" s="100"/>
      <c r="F12" s="101"/>
      <c r="G12" s="20">
        <f>E11</f>
        <v>97606.046666666662</v>
      </c>
      <c r="H12" s="21" t="s">
        <v>3</v>
      </c>
      <c r="I12" s="1"/>
    </row>
    <row r="13" spans="1:9" x14ac:dyDescent="0.25">
      <c r="A13" s="1"/>
      <c r="B13" s="99" t="s">
        <v>127</v>
      </c>
      <c r="C13" s="100"/>
      <c r="D13" s="100"/>
      <c r="E13" s="100"/>
      <c r="F13" s="101"/>
      <c r="G13" s="20">
        <f>G12*(1+Prisudvikling2018)*(1+Prisudvikling2019)^4</f>
        <v>106199.90546489187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9" t="s">
        <v>122</v>
      </c>
      <c r="C17" s="100"/>
      <c r="D17" s="100"/>
      <c r="E17" s="100"/>
      <c r="F17" s="100"/>
      <c r="G17" s="100"/>
      <c r="H17" s="101"/>
      <c r="I17" s="1"/>
    </row>
    <row r="18" spans="1:9" x14ac:dyDescent="0.25">
      <c r="A18" s="1"/>
      <c r="B18" s="102" t="s">
        <v>122</v>
      </c>
      <c r="C18" s="103"/>
      <c r="D18" s="104"/>
      <c r="E18" s="25">
        <v>-271215.17019675486</v>
      </c>
      <c r="F18" s="22" t="s">
        <v>3</v>
      </c>
      <c r="G18" s="14"/>
      <c r="H18" s="31"/>
      <c r="I18" s="1"/>
    </row>
    <row r="19" spans="1:9" x14ac:dyDescent="0.25">
      <c r="A19" s="1"/>
      <c r="B19" s="96" t="s">
        <v>115</v>
      </c>
      <c r="C19" s="97"/>
      <c r="D19" s="98"/>
      <c r="E19" s="11">
        <v>4</v>
      </c>
      <c r="F19" s="22" t="s">
        <v>42</v>
      </c>
      <c r="G19" s="14"/>
      <c r="H19" s="31"/>
      <c r="I19" s="1"/>
    </row>
    <row r="20" spans="1:9" x14ac:dyDescent="0.25">
      <c r="A20" s="1"/>
      <c r="B20" s="96" t="s">
        <v>126</v>
      </c>
      <c r="C20" s="97"/>
      <c r="D20" s="98"/>
      <c r="E20" s="11">
        <f>E18/E19</f>
        <v>-67803.792549188714</v>
      </c>
      <c r="F20" s="22" t="s">
        <v>3</v>
      </c>
      <c r="G20" s="14"/>
      <c r="H20" s="31"/>
      <c r="I20" s="1"/>
    </row>
    <row r="21" spans="1:9" x14ac:dyDescent="0.25">
      <c r="A21" s="1"/>
      <c r="B21" s="99" t="s">
        <v>131</v>
      </c>
      <c r="C21" s="100"/>
      <c r="D21" s="100"/>
      <c r="E21" s="100"/>
      <c r="F21" s="101"/>
      <c r="G21" s="20">
        <f>E20</f>
        <v>-67803.792549188714</v>
      </c>
      <c r="H21" s="21" t="s">
        <v>3</v>
      </c>
      <c r="I21" s="1"/>
    </row>
    <row r="22" spans="1:9" x14ac:dyDescent="0.25">
      <c r="A22" s="1"/>
      <c r="B22" s="99" t="s">
        <v>127</v>
      </c>
      <c r="C22" s="100"/>
      <c r="D22" s="100"/>
      <c r="E22" s="100"/>
      <c r="F22" s="101"/>
      <c r="G22" s="20">
        <f>G21*(1+Prisudvikling2018)*(1+Prisudvikling2019)^4</f>
        <v>-73773.670841072017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2018-08-27T13:08:44Z</dcterms:modified>
</cp:coreProperties>
</file>