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K4" i="16" l="1"/>
  <c r="G3" i="16"/>
  <c r="H3" i="16"/>
  <c r="I3" i="16"/>
  <c r="J3" i="16"/>
  <c r="K3" i="16"/>
  <c r="F3" i="17" l="1"/>
  <c r="G3" i="17"/>
  <c r="G4" i="16" l="1"/>
  <c r="H4" i="16"/>
  <c r="M3" i="16" s="1"/>
  <c r="I4" i="16"/>
  <c r="J4" i="16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K5" i="16"/>
  <c r="P3" i="16" s="1"/>
  <c r="K6" i="16"/>
  <c r="G5" i="17"/>
  <c r="F4" i="17"/>
  <c r="E5" i="17"/>
  <c r="G4" i="17"/>
  <c r="E4" i="17"/>
  <c r="F5" i="17"/>
  <c r="I6" i="16"/>
  <c r="G5" i="16"/>
  <c r="H5" i="16"/>
  <c r="J3" i="24"/>
  <c r="G6" i="16"/>
  <c r="J5" i="16"/>
  <c r="O3" i="16" s="1"/>
  <c r="J6" i="16"/>
  <c r="H6" i="16"/>
  <c r="I5" i="16"/>
  <c r="N3" i="16" s="1"/>
  <c r="M3" i="24" l="1"/>
  <c r="B10" i="12" s="1"/>
  <c r="B11" i="12" s="1"/>
  <c r="L3" i="16"/>
  <c r="H3" i="17"/>
  <c r="B4" i="12" s="1"/>
  <c r="I2" i="15"/>
  <c r="K2" i="15" s="1"/>
  <c r="B2" i="12" s="1"/>
  <c r="Q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<sst xmlns="http://schemas.openxmlformats.org/spreadsheetml/2006/main" count="124" uniqueCount="80">
  <si>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</si>
  <si>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</si>
  <si>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</si>
  <si>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</si>
  <si>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</si>
  <si>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</si>
  <si>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</si>
  <si>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</si>
  <si>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</si>
  <si>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</si>
  <si>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</si>
  <si>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</si>
  <si>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</si>
  <si>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</si>
  <si>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</si>
  <si>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</si>
  <si>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</si>
  <si>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</si>
  <si>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</si>
  <si>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</si>
  <si>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</si>
  <si>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</si>
  <si>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</si>
  <si>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>Indsats mod oversvømmelser</t>
  </si>
  <si>
    <t xml:space="preserve">Rottefælder/bekæmpelse </t>
  </si>
  <si>
    <t>Svovlbrintebekæmpelse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</si>
  <si>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</si>
  <si>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</si>
  <si>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</si>
  <si>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</si>
  <si>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</si>
  <si>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</si>
  <si>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</si>
  <si>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</si>
  <si>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</si>
  <si>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</si>
  <si>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</si>
  <si>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</si>
  <si>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</si>
  <si>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</si>
  <si>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</si>
  <si>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</si>
  <si>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</si>
  <si>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</si>
  <si>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</si>
  <si>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</si>
  <si>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</si>
  <si>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</si>
  <si>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</si>
  <si>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</si>
  <si>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</si>
  <si>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</si>
  <si>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Ledningsregistrering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</si>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</sst>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13266843.332112007</v>
      </c>
      <c r="C2" t="s">
        <v>11</v>
      </c>
    </row>
    <row r="3" spans="1:3" s="2" customFormat="1" x14ac:dyDescent="0.25">
      <c r="A3" s="6" t="s">
        <v>8</v>
      </c>
      <c r="B3" s="39">
        <f>'Miljø- og servicemål'!Q3</f>
        <v>3802493.6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88121.76</v>
      </c>
      <c r="C4" t="s">
        <v>11</v>
      </c>
    </row>
    <row r="5" spans="1:3" s="29" customFormat="1" x14ac:dyDescent="0.25">
      <c r="A5" s="5" t="s">
        <v>55</v>
      </c>
      <c r="B5" s="38">
        <f>'Periodevise driftsomkostninger'!B2</f>
        <v>3945682</v>
      </c>
      <c r="C5" s="3" t="s">
        <v>11</v>
      </c>
    </row>
    <row r="6" spans="1:3" s="29" customFormat="1" x14ac:dyDescent="0.25">
      <c r="A6" s="4" t="s">
        <v>12</v>
      </c>
      <c r="B6" s="51">
        <f>SUM(B2:B5)</f>
        <v>21103140.69211201</v>
      </c>
      <c r="C6" s="65" t="s">
        <v>11</v>
      </c>
    </row>
    <row r="7" spans="1:3" x14ac:dyDescent="0.25">
      <c r="A7" s="50" t="s">
        <v>0</v>
      </c>
      <c r="B7" s="41">
        <f>Investeringer!E3</f>
        <v>48479834.59135697</v>
      </c>
      <c r="C7" s="26" t="s">
        <v>11</v>
      </c>
    </row>
    <row r="8" spans="1:3" x14ac:dyDescent="0.25">
      <c r="A8" s="5" t="s">
        <v>1</v>
      </c>
      <c r="B8" s="38">
        <f>Investeringer!F3</f>
        <v>6475554.0125298817</v>
      </c>
      <c r="C8" t="s">
        <v>11</v>
      </c>
    </row>
    <row r="9" spans="1:3" x14ac:dyDescent="0.25">
      <c r="A9" s="5" t="s">
        <v>2</v>
      </c>
      <c r="B9" s="38">
        <f>Investeringer!G3</f>
        <v>1636500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1325485</v>
      </c>
      <c r="C10" t="s">
        <v>11</v>
      </c>
    </row>
    <row r="11" spans="1:3" s="25" customFormat="1" x14ac:dyDescent="0.25">
      <c r="A11" s="4" t="s">
        <v>50</v>
      </c>
      <c r="B11" s="51">
        <f>SUM(B7:B10)</f>
        <v>57917373.60388685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22360062.739999998</v>
      </c>
      <c r="C12" t="s">
        <v>11</v>
      </c>
    </row>
    <row r="13" spans="1:3" s="25" customFormat="1" x14ac:dyDescent="0.25">
      <c r="A13" s="4" t="s">
        <v>74</v>
      </c>
      <c r="B13" s="51">
        <f>SUM(B12:B12)</f>
        <v>22360062.739999998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63</v>
      </c>
      <c r="B15" s="40">
        <f>SUM(B6,B11,B13)</f>
        <v>101380577.03599885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57</v>
      </c>
      <c r="B17" s="40">
        <f>B15*Pristalsregulering!C8*Pristalsregulering!C9</f>
        <v>102277971.54497147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64</v>
      </c>
      <c r="D1" s="62" t="s">
        <v>65</v>
      </c>
      <c r="E1" s="62" t="s">
        <v>58</v>
      </c>
      <c r="F1" s="55" t="s">
        <v>66</v>
      </c>
      <c r="G1" s="55" t="s">
        <v>75</v>
      </c>
      <c r="H1" s="55" t="s">
        <v>67</v>
      </c>
      <c r="I1" s="55" t="s">
        <v>51</v>
      </c>
      <c r="J1" s="14" t="s">
        <v>68</v>
      </c>
      <c r="K1" s="14" t="s">
        <v>69</v>
      </c>
    </row>
    <row r="2" spans="1:11" s="26" customFormat="1" ht="15.75" thickTop="1" x14ac:dyDescent="0.25">
      <c r="A2" s="31">
        <v>2015</v>
      </c>
      <c r="B2" s="52">
        <v>12540462.65</v>
      </c>
      <c r="C2" s="52">
        <v>191280.01</v>
      </c>
      <c r="D2" s="52">
        <f>B2+C2</f>
        <v>12731742.66</v>
      </c>
      <c r="E2" s="53">
        <f>D2</f>
        <v>12731742.66</v>
      </c>
      <c r="F2" s="52">
        <v>18028031.332112007</v>
      </c>
      <c r="G2" s="52">
        <v>4761188</v>
      </c>
      <c r="H2" s="52">
        <f>F2-G2</f>
        <v>13266843.332112007</v>
      </c>
      <c r="I2" s="52">
        <f>AVERAGEIF(E2:E4,"&lt;&gt;0")</f>
        <v>13818139.8792</v>
      </c>
      <c r="J2" s="52">
        <v>13266843.541466147</v>
      </c>
      <c r="K2" s="42">
        <f>IF(H2&gt;I2,IF(I2&gt;J2,I2,J2),H2)</f>
        <v>13266843.332112007</v>
      </c>
    </row>
    <row r="3" spans="1:11" s="26" customFormat="1" x14ac:dyDescent="0.25">
      <c r="A3" s="31">
        <v>2014</v>
      </c>
      <c r="B3" s="52">
        <v>14892623</v>
      </c>
      <c r="C3" s="52"/>
      <c r="D3" s="52">
        <f t="shared" ref="D3:D4" si="0">B3+C3</f>
        <v>14892623</v>
      </c>
      <c r="E3" s="53">
        <f>D3*Pristalsregulering!C7</f>
        <v>14904537.098399999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/>
      <c r="C4" s="52"/>
      <c r="D4" s="52">
        <f t="shared" si="0"/>
        <v>0</v>
      </c>
      <c r="E4" s="53">
        <f>D4*Pristalsregulering!$C$6*Pristalsregulering!$C$7</f>
        <v>0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25" customWidth="1"/>
    <col min="7" max="7" width="30.7109375" style="58" customWidth="1"/>
    <col min="8" max="10" width="30.7109375" customWidth="1"/>
    <col min="11" max="11" width="30.7109375" style="25" customWidth="1"/>
    <col min="12" max="12" width="30.7109375" style="58" customWidth="1"/>
    <col min="13" max="15" width="30.7109375" customWidth="1"/>
    <col min="16" max="16" width="30.7109375" style="25" customWidth="1"/>
    <col min="17" max="17" width="30.7109375" style="58" customWidth="1"/>
    <col min="18" max="18" width="9.140625" hidden="1" customWidth="1"/>
    <col min="19" max="33" width="0" hidden="1" customWidth="1"/>
    <col min="34" max="34" width="9.140625" hidden="1" customWidth="1"/>
    <col min="35" max="44" width="0" hidden="1" customWidth="1"/>
    <col min="45" max="45" width="9.140625" hidden="1" customWidth="1"/>
    <col min="46" max="60" width="0" hidden="1" customWidth="1"/>
    <col min="61" max="61" width="9.140625" hidden="1" customWidth="1"/>
    <col min="62" max="66" width="0" hidden="1" customWidth="1"/>
    <col min="67" max="67" width="9.140625" hidden="1" customWidth="1"/>
    <col min="68" max="77" width="0" hidden="1" customWidth="1"/>
    <col min="78" max="78" width="9.140625" hidden="1" customWidth="1"/>
    <col min="79" max="83" width="0" hidden="1" customWidth="1"/>
    <col min="84" max="84" width="9.140625" hidden="1" customWidth="1"/>
    <col min="85" max="85" width="0" hidden="1" customWidth="1"/>
    <col min="86" max="86" width="9.140625" hidden="1" customWidth="1"/>
    <col min="87" max="96" width="0" hidden="1" customWidth="1"/>
    <col min="97" max="97" width="9.140625" hidden="1" customWidth="1"/>
    <col min="98" max="102" width="0" hidden="1" customWidth="1"/>
    <col min="103" max="103" width="9.140625" hidden="1" customWidth="1"/>
    <col min="104" max="105" width="0" hidden="1" customWidth="1"/>
    <col min="106" max="106" width="9.140625" hidden="1" customWidth="1"/>
    <col min="107" max="116" width="0" hidden="1" customWidth="1"/>
    <col min="117" max="117" width="9.140625" hidden="1" customWidth="1"/>
    <col min="118" max="122" width="0" hidden="1" customWidth="1"/>
    <col min="123" max="123" width="9.140625" hidden="1" customWidth="1"/>
    <col min="124" max="124" width="0" hidden="1" customWidth="1"/>
    <col min="125" max="125" width="9.140625" hidden="1" customWidth="1"/>
    <col min="126" max="135" width="0" hidden="1" customWidth="1"/>
    <col min="136" max="136" width="9.140625" hidden="1" customWidth="1"/>
    <col min="137" max="141" width="0" hidden="1" customWidth="1"/>
    <col min="142" max="142" width="9.140625" hidden="1" customWidth="1"/>
    <col min="143" max="143" width="0" hidden="1" customWidth="1"/>
    <col min="144" max="144" width="9.140625" hidden="1" customWidth="1"/>
    <col min="145" max="149" width="0" hidden="1" customWidth="1"/>
    <col min="150" max="150" width="9.140625" hidden="1" customWidth="1"/>
    <col min="151" max="151" width="0" hidden="1" customWidth="1"/>
    <col min="152" max="152" width="9.140625" hidden="1" customWidth="1"/>
    <col min="153" max="162" width="0" hidden="1" customWidth="1"/>
    <col min="163" max="163" width="9.140625" hidden="1" customWidth="1"/>
    <col min="164" max="168" width="0" hidden="1" customWidth="1"/>
    <col min="169" max="169" width="9.140625" hidden="1" customWidth="1"/>
    <col min="170" max="174" width="0" hidden="1" customWidth="1"/>
    <col min="175" max="175" width="9.140625" hidden="1" customWidth="1"/>
    <col min="176" max="179" width="0" hidden="1" customWidth="1"/>
    <col min="180" max="180" width="9.140625" hidden="1" customWidth="1"/>
    <col min="181" max="185" width="0" hidden="1" customWidth="1"/>
    <col min="186" max="186" width="9.140625" hidden="1" customWidth="1"/>
    <col min="187" max="191" width="0" hidden="1" customWidth="1"/>
    <col min="192" max="192" width="9.140625" hidden="1" customWidth="1"/>
    <col min="193" max="193" width="0" hidden="1" customWidth="1"/>
    <col min="194" max="194" width="9.140625" hidden="1" customWidth="1"/>
    <col min="195" max="198" width="0" hidden="1" customWidth="1"/>
    <col min="199" max="199" width="9.140625" hidden="1" customWidth="1"/>
    <col min="200" max="204" width="0" hidden="1" customWidth="1"/>
    <col min="205" max="205" width="9.140625" hidden="1" customWidth="1"/>
    <col min="206" max="210" width="0" hidden="1" customWidth="1"/>
    <col min="211" max="211" width="9.140625" hidden="1" customWidth="1"/>
    <col min="212" max="213" width="0" hidden="1" customWidth="1"/>
    <col min="214" max="214" width="9.140625" hidden="1" customWidth="1"/>
    <col min="215" max="218" width="0" hidden="1" customWidth="1"/>
    <col min="219" max="219" width="9.140625" hidden="1" customWidth="1"/>
    <col min="220" max="224" width="0" hidden="1" customWidth="1"/>
    <col min="225" max="225" width="9.140625" hidden="1" customWidth="1"/>
    <col min="226" max="230" width="0" hidden="1" customWidth="1"/>
    <col min="231" max="231" width="9.140625" hidden="1" customWidth="1"/>
    <col min="232" max="232" width="0" hidden="1" customWidth="1"/>
    <col min="233" max="233" width="9.140625" hidden="1" customWidth="1"/>
    <col min="234" max="237" width="0" hidden="1" customWidth="1"/>
    <col min="238" max="238" width="9.140625" hidden="1" customWidth="1"/>
    <col min="239" max="243" width="0" hidden="1" customWidth="1"/>
    <col min="244" max="244" width="9.140625" hidden="1" customWidth="1"/>
    <col min="245" max="249" width="0" hidden="1" customWidth="1"/>
    <col min="250" max="250" width="9.140625" hidden="1" customWidth="1"/>
    <col min="251" max="251" width="0" hidden="1" customWidth="1"/>
    <col min="252" max="252" width="9.140625" hidden="1" customWidth="1"/>
    <col min="253" max="257" width="0" hidden="1" customWidth="1"/>
    <col min="258" max="258" width="9.140625" hidden="1" customWidth="1"/>
    <col min="259" max="259" width="0" hidden="1" customWidth="1"/>
    <col min="260" max="260" width="9.140625" hidden="1" customWidth="1"/>
    <col min="261" max="264" width="0" hidden="1" customWidth="1"/>
    <col min="265" max="265" width="9.140625" hidden="1" customWidth="1"/>
    <col min="266" max="270" width="0" hidden="1" customWidth="1"/>
    <col min="271" max="271" width="9.140625" hidden="1" customWidth="1"/>
    <col min="272" max="276" width="0" hidden="1" customWidth="1"/>
    <col min="277" max="277" width="9.140625" hidden="1" customWidth="1"/>
    <col min="278" max="282" width="0" hidden="1" customWidth="1"/>
    <col min="283" max="283" width="9.140625" hidden="1" customWidth="1"/>
    <col min="284" max="287" width="0" hidden="1" customWidth="1"/>
    <col min="288" max="288" width="9.140625" hidden="1" customWidth="1"/>
    <col min="289" max="293" width="0" hidden="1" customWidth="1"/>
    <col min="294" max="294" width="9.140625" hidden="1" customWidth="1"/>
    <col min="295" max="299" width="0" hidden="1" customWidth="1"/>
    <col min="300" max="300" width="9.140625" hidden="1" customWidth="1"/>
    <col min="301" max="301" width="0" hidden="1" customWidth="1"/>
    <col min="302" max="302" width="9.140625" hidden="1" customWidth="1"/>
    <col min="303" max="306" width="0" hidden="1" customWidth="1"/>
    <col min="307" max="307" width="9.140625" hidden="1" customWidth="1"/>
    <col min="308" max="312" width="0" hidden="1" customWidth="1"/>
    <col min="313" max="313" width="9.140625" hidden="1" customWidth="1"/>
    <col min="314" max="318" width="0" hidden="1" customWidth="1"/>
    <col min="319" max="319" width="9.140625" hidden="1" customWidth="1"/>
    <col min="320" max="322" width="0" hidden="1" customWidth="1"/>
    <col min="323" max="323" width="9.140625" hidden="1" customWidth="1"/>
    <col min="324" max="324" width="0" hidden="1" customWidth="1"/>
    <col min="325" max="325" width="9.140625" hidden="1" customWidth="1"/>
    <col min="326" max="329" width="0" hidden="1" customWidth="1"/>
    <col min="330" max="330" width="9.140625" hidden="1" customWidth="1"/>
    <col min="331" max="335" width="0" hidden="1" customWidth="1"/>
    <col min="336" max="336" width="9.140625" hidden="1" customWidth="1"/>
    <col min="337" max="341" width="0" hidden="1" customWidth="1"/>
    <col min="342" max="16384" width="9.140625" hidden="1"/>
  </cols>
  <sheetData>
    <row r="1" spans="1:17" s="30" customFormat="1" ht="15.75" thickBot="1" x14ac:dyDescent="0.3">
      <c r="A1" s="10"/>
      <c r="B1" s="36" t="s">
        <v>77</v>
      </c>
      <c r="C1" s="36"/>
      <c r="D1" s="36"/>
      <c r="E1" s="36"/>
      <c r="F1" s="36"/>
      <c r="G1" s="66" t="s">
        <v>78</v>
      </c>
      <c r="H1" s="13"/>
      <c r="I1" s="13"/>
      <c r="J1" s="13"/>
      <c r="K1" s="13"/>
      <c r="L1" s="66" t="s">
        <v>79</v>
      </c>
      <c r="M1" s="13"/>
      <c r="N1" s="13"/>
      <c r="O1" s="13"/>
      <c r="P1" s="13"/>
      <c r="Q1" s="66"/>
    </row>
    <row r="2" spans="1:17" ht="15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37" t="s">
        <v>25</v>
      </c>
      <c r="F2" s="37" t="s">
        <v>52</v>
      </c>
      <c r="G2" s="59" t="s">
        <v>22</v>
      </c>
      <c r="H2" s="37" t="s">
        <v>23</v>
      </c>
      <c r="I2" s="37" t="s">
        <v>24</v>
      </c>
      <c r="J2" s="37" t="s">
        <v>25</v>
      </c>
      <c r="K2" s="37" t="s">
        <v>52</v>
      </c>
      <c r="L2" s="59" t="s">
        <v>22</v>
      </c>
      <c r="M2" s="37" t="s">
        <v>23</v>
      </c>
      <c r="N2" s="37" t="s">
        <v>24</v>
      </c>
      <c r="O2" s="37" t="s">
        <v>25</v>
      </c>
      <c r="P2" s="37" t="s">
        <v>52</v>
      </c>
      <c r="Q2" s="56" t="s">
        <v>26</v>
      </c>
    </row>
    <row r="3" spans="1:17" s="25" customFormat="1" x14ac:dyDescent="0.25">
      <c r="A3" s="31">
        <v>2016</v>
      </c>
      <c r="B3" s="75">
        <v>15000</v>
      </c>
      <c r="C3" s="75"/>
      <c r="D3" s="75"/>
      <c r="E3" s="75"/>
      <c r="F3" s="75"/>
      <c r="G3" s="48">
        <f t="shared" ref="G3:K4" si="0">B3</f>
        <v>15000</v>
      </c>
      <c r="H3" s="38">
        <f t="shared" si="0"/>
        <v>0</v>
      </c>
      <c r="I3" s="38">
        <f t="shared" si="0"/>
        <v>0</v>
      </c>
      <c r="J3" s="38">
        <f t="shared" si="0"/>
        <v>0</v>
      </c>
      <c r="K3" s="38">
        <f t="shared" si="0"/>
        <v>0</v>
      </c>
      <c r="L3" s="48">
        <f>IF(G4=0,0,AVERAGEIF(G4:G6,"&lt;&gt;0"))+G3</f>
        <v>15000</v>
      </c>
      <c r="M3" s="41">
        <f>IF(H4=0,0,AVERAGEIF(H4:H6,"&lt;&gt;0"))+H3</f>
        <v>0</v>
      </c>
      <c r="N3" s="41">
        <f>IF(I4=0,0,AVERAGEIF(I4:I6,"&lt;&gt;0"))+I3</f>
        <v>114361.60000000001</v>
      </c>
      <c r="O3" s="41">
        <f>IF(J4=0,0,AVERAGEIF(J4:J6,"&lt;&gt;0"))+J3</f>
        <v>316318</v>
      </c>
      <c r="P3" s="41">
        <f>IF(K4=0,0,AVERAGEIF(K4:K6,"&lt;&gt;0"))+K3</f>
        <v>3356814</v>
      </c>
      <c r="Q3" s="60">
        <f>SUM(L3:P3)</f>
        <v>3802493.6</v>
      </c>
    </row>
    <row r="4" spans="1:17" x14ac:dyDescent="0.25">
      <c r="A4" s="31">
        <v>2015</v>
      </c>
      <c r="B4" s="38"/>
      <c r="C4" s="38"/>
      <c r="D4" s="38">
        <v>114361.60000000001</v>
      </c>
      <c r="E4" s="38">
        <v>316318</v>
      </c>
      <c r="F4" s="38">
        <v>3356814</v>
      </c>
      <c r="G4" s="48">
        <f t="shared" si="0"/>
        <v>0</v>
      </c>
      <c r="H4" s="38">
        <f t="shared" si="0"/>
        <v>0</v>
      </c>
      <c r="I4" s="38">
        <f t="shared" si="0"/>
        <v>114361.60000000001</v>
      </c>
      <c r="J4" s="38">
        <f t="shared" si="0"/>
        <v>316318</v>
      </c>
      <c r="K4" s="38">
        <f t="shared" si="0"/>
        <v>3356814</v>
      </c>
      <c r="L4" s="48"/>
      <c r="M4" s="41"/>
      <c r="N4" s="41"/>
      <c r="O4" s="41"/>
      <c r="P4" s="41"/>
      <c r="Q4" s="57"/>
    </row>
    <row r="5" spans="1:17" x14ac:dyDescent="0.25">
      <c r="A5" s="31">
        <v>2014</v>
      </c>
      <c r="B5" s="38"/>
      <c r="C5" s="38">
        <v>3086334</v>
      </c>
      <c r="D5" s="38"/>
      <c r="E5" s="38"/>
      <c r="F5" s="38"/>
      <c r="G5" s="48">
        <f>B5*Pristalsregulering!$C$7</f>
        <v>0</v>
      </c>
      <c r="H5" s="38">
        <f>C5*Pristalsregulering!$C$7</f>
        <v>3088803.0671999999</v>
      </c>
      <c r="I5" s="38">
        <f>D5*Pristalsregulering!$C$7</f>
        <v>0</v>
      </c>
      <c r="J5" s="38">
        <f>E5*Pristalsregulering!$C$7</f>
        <v>0</v>
      </c>
      <c r="K5" s="38">
        <f>F5*Pristalsregulering!$C$7</f>
        <v>0</v>
      </c>
      <c r="L5" s="48"/>
      <c r="M5" s="38"/>
      <c r="N5" s="38"/>
      <c r="O5" s="38"/>
      <c r="P5" s="41"/>
      <c r="Q5" s="48"/>
    </row>
    <row r="6" spans="1:17" x14ac:dyDescent="0.25">
      <c r="A6" s="31">
        <v>2013</v>
      </c>
      <c r="B6" s="38"/>
      <c r="C6" s="38"/>
      <c r="D6" s="38"/>
      <c r="E6" s="38"/>
      <c r="F6" s="38"/>
      <c r="G6" s="48">
        <f>B6*Pristalsregulering!$C$7*Pristalsregulering!$C$6</f>
        <v>0</v>
      </c>
      <c r="H6" s="38">
        <f>C6*Pristalsregulering!$C$7*Pristalsregulering!$C$6</f>
        <v>0</v>
      </c>
      <c r="I6" s="38">
        <f>D6*Pristalsregulering!$C$7*Pristalsregulering!$C$6</f>
        <v>0</v>
      </c>
      <c r="J6" s="38">
        <f>E6*Pristalsregulering!$C$7*Pristalsregulering!$C$6</f>
        <v>0</v>
      </c>
      <c r="K6" s="38">
        <f>F6*Pristalsregulering!$C$7*Pristalsregulering!$C$6</f>
        <v>0</v>
      </c>
      <c r="L6" s="48"/>
      <c r="M6" s="38"/>
      <c r="N6" s="38"/>
      <c r="O6" s="38"/>
      <c r="P6" s="41"/>
      <c r="Q6" s="48"/>
    </row>
    <row r="7" spans="1:17" hidden="1" x14ac:dyDescent="0.25"/>
    <row r="8" spans="1:17" hidden="1" x14ac:dyDescent="0.25"/>
    <row r="9" spans="1:17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27</v>
      </c>
      <c r="C1" s="77"/>
      <c r="D1" s="77"/>
      <c r="E1" s="78" t="s">
        <v>59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28</v>
      </c>
      <c r="C2" s="23" t="s">
        <v>29</v>
      </c>
      <c r="D2" s="23" t="s">
        <v>30</v>
      </c>
      <c r="E2" s="19" t="s">
        <v>28</v>
      </c>
      <c r="F2" s="23" t="s">
        <v>29</v>
      </c>
      <c r="G2" s="49" t="s">
        <v>30</v>
      </c>
      <c r="H2" s="7" t="s">
        <v>32</v>
      </c>
    </row>
    <row r="3" spans="1:8" x14ac:dyDescent="0.25">
      <c r="A3" s="34">
        <v>2015</v>
      </c>
      <c r="B3" s="44">
        <v>20000</v>
      </c>
      <c r="C3" s="45">
        <v>51760</v>
      </c>
      <c r="D3" s="45">
        <v>0</v>
      </c>
      <c r="E3" s="44">
        <f>B3</f>
        <v>20000</v>
      </c>
      <c r="F3" s="45">
        <f t="shared" ref="F3:G3" si="0">C3</f>
        <v>51760</v>
      </c>
      <c r="G3" s="46">
        <f t="shared" si="0"/>
        <v>0</v>
      </c>
      <c r="H3" s="47">
        <f>IF(E3=0,0,AVERAGEIF(E3:E5,"&lt;&gt;0"))+IF(F3=0,0,AVERAGEIF(F3:F5,"&lt;&gt;0"))+IF(G3=0,0,AVERAGEIF(G3:G5,"&lt;&gt;0"))</f>
        <v>88121.76</v>
      </c>
    </row>
    <row r="4" spans="1:8" x14ac:dyDescent="0.25">
      <c r="A4" s="34">
        <v>2014</v>
      </c>
      <c r="B4" s="44">
        <v>26000</v>
      </c>
      <c r="C4" s="45">
        <v>78400</v>
      </c>
      <c r="D4" s="45">
        <v>0</v>
      </c>
      <c r="E4" s="44">
        <f>B4*Pristalsregulering!$C$7</f>
        <v>26020.799999999999</v>
      </c>
      <c r="F4" s="45">
        <f>C4*Pristalsregulering!$C$7</f>
        <v>78462.719999999987</v>
      </c>
      <c r="G4" s="46">
        <f>D4*Pristalsregulering!$C$7</f>
        <v>0</v>
      </c>
      <c r="H4" s="45"/>
    </row>
    <row r="5" spans="1:8" x14ac:dyDescent="0.25">
      <c r="A5" s="34">
        <v>2013</v>
      </c>
      <c r="B5" s="44"/>
      <c r="C5" s="45"/>
      <c r="D5" s="45">
        <v>0</v>
      </c>
      <c r="E5" s="44">
        <f>B5*Pristalsregulering!$C$7*Pristalsregulering!$C$6</f>
        <v>0</v>
      </c>
      <c r="F5" s="45">
        <f>C5*Pristalsregulering!$C$7*Pristalsregulering!$C$6</f>
        <v>0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56</v>
      </c>
    </row>
    <row r="2" spans="1:2" ht="15.75" thickTop="1" x14ac:dyDescent="0.25">
      <c r="A2" s="31">
        <v>2015</v>
      </c>
      <c r="B2" s="52">
        <v>3945682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72</v>
      </c>
      <c r="C1" s="79"/>
      <c r="D1" s="80"/>
      <c r="E1" s="81" t="s">
        <v>73</v>
      </c>
      <c r="F1" s="81"/>
      <c r="G1" s="81"/>
    </row>
    <row r="2" spans="1:7" s="25" customFormat="1" ht="15.75" thickTop="1" x14ac:dyDescent="0.25">
      <c r="A2" s="72" t="s">
        <v>13</v>
      </c>
      <c r="B2" s="26" t="s">
        <v>70</v>
      </c>
      <c r="C2" s="26" t="s">
        <v>1</v>
      </c>
      <c r="D2" s="31" t="s">
        <v>71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44530064</v>
      </c>
      <c r="C3" s="41">
        <v>6305299.6852900628</v>
      </c>
      <c r="D3" s="43">
        <v>1636500</v>
      </c>
      <c r="E3" s="38">
        <f>B3*Pristalsregulering!C2*Pristalsregulering!C3*Pristalsregulering!C4*Pristalsregulering!C5*Pristalsregulering!C6*Pristalsregulering!C7</f>
        <v>48479834.59135697</v>
      </c>
      <c r="F3" s="38">
        <v>6475554.0125298817</v>
      </c>
      <c r="G3" s="38">
        <f>D3</f>
        <v>1636500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43</v>
      </c>
      <c r="C1" s="77"/>
      <c r="D1" s="77"/>
      <c r="E1" s="77"/>
      <c r="F1" s="78" t="s">
        <v>60</v>
      </c>
      <c r="G1" s="79"/>
      <c r="H1" s="79"/>
      <c r="I1" s="79"/>
      <c r="J1" s="82" t="s">
        <v>32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44</v>
      </c>
      <c r="C2" s="8" t="s">
        <v>45</v>
      </c>
      <c r="D2" s="8" t="s">
        <v>46</v>
      </c>
      <c r="E2" s="54" t="s">
        <v>47</v>
      </c>
      <c r="F2" s="8" t="s">
        <v>44</v>
      </c>
      <c r="G2" s="8" t="s">
        <v>45</v>
      </c>
      <c r="H2" s="8" t="s">
        <v>46</v>
      </c>
      <c r="I2" s="54" t="s">
        <v>47</v>
      </c>
      <c r="J2" s="23" t="s">
        <v>48</v>
      </c>
      <c r="K2" s="23" t="s">
        <v>45</v>
      </c>
      <c r="L2" s="18" t="s">
        <v>76</v>
      </c>
      <c r="M2" s="7" t="s">
        <v>31</v>
      </c>
      <c r="N2" s="35"/>
    </row>
    <row r="3" spans="1:14" x14ac:dyDescent="0.25">
      <c r="A3" s="31">
        <v>2015</v>
      </c>
      <c r="B3" s="48">
        <v>0</v>
      </c>
      <c r="C3" s="41">
        <v>1325485</v>
      </c>
      <c r="D3" s="41">
        <v>0</v>
      </c>
      <c r="E3" s="43">
        <v>0</v>
      </c>
      <c r="F3" s="41">
        <f>B3</f>
        <v>0</v>
      </c>
      <c r="G3" s="41">
        <f>C3</f>
        <v>1325485</v>
      </c>
      <c r="H3" s="41">
        <f>D3</f>
        <v>0</v>
      </c>
      <c r="I3" s="43">
        <f>E3</f>
        <v>0</v>
      </c>
      <c r="J3" s="45">
        <f>AVERAGE(F3:F5)</f>
        <v>0</v>
      </c>
      <c r="K3" s="45">
        <f>G3</f>
        <v>1325485</v>
      </c>
      <c r="L3" s="46">
        <f>AVERAGE(H3:H5)+AVERAGE(I3:I5)</f>
        <v>0</v>
      </c>
      <c r="M3" s="47">
        <f>SUM(J3:L3)</f>
        <v>1325485</v>
      </c>
      <c r="N3" s="26"/>
    </row>
    <row r="4" spans="1:14" x14ac:dyDescent="0.25">
      <c r="A4" s="31">
        <v>2014</v>
      </c>
      <c r="B4" s="48">
        <v>0</v>
      </c>
      <c r="C4" s="41">
        <v>1195474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1196430.3791999999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/>
      <c r="C5" s="41"/>
      <c r="D5" s="41"/>
      <c r="E5" s="43"/>
      <c r="F5" s="41" t="str">
        <f>IF(B5="","",B5*Pristalsregulering!$C$7*Pristalsregulering!$C$6)</f>
        <v/>
      </c>
      <c r="G5" s="41" t="str">
        <f>IF(C5="","",C5*Pristalsregulering!$C$7*Pristalsregulering!$C$6)</f>
        <v/>
      </c>
      <c r="H5" s="41" t="str">
        <f>IF(D5="","",D5*Pristalsregulering!$C$7*Pristalsregulering!$C$6)</f>
        <v/>
      </c>
      <c r="I5" s="43" t="str">
        <f>IF(E5="","",E5*Pristalsregulering!$C$7*Pristalsregulering!$C$6)</f>
        <v/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33</v>
      </c>
      <c r="C1" s="69" t="s">
        <v>34</v>
      </c>
      <c r="D1" s="69" t="s">
        <v>35</v>
      </c>
      <c r="E1" s="69" t="s">
        <v>36</v>
      </c>
      <c r="F1" s="69" t="s">
        <v>37</v>
      </c>
      <c r="G1" s="69" t="s">
        <v>38</v>
      </c>
      <c r="H1" s="69" t="s">
        <v>39</v>
      </c>
      <c r="I1" s="69" t="s">
        <v>40</v>
      </c>
      <c r="J1" s="69" t="s">
        <v>41</v>
      </c>
      <c r="K1" s="69" t="s">
        <v>61</v>
      </c>
      <c r="L1" s="70" t="s">
        <v>42</v>
      </c>
      <c r="M1" s="17" t="s">
        <v>31</v>
      </c>
    </row>
    <row r="2" spans="1:13" ht="15.75" thickTop="1" x14ac:dyDescent="0.25">
      <c r="A2" s="34">
        <v>2015</v>
      </c>
      <c r="B2" s="45">
        <v>32522.74</v>
      </c>
      <c r="C2" s="45">
        <v>0</v>
      </c>
      <c r="D2" s="45">
        <v>0</v>
      </c>
      <c r="E2" s="45">
        <v>20678886</v>
      </c>
      <c r="F2" s="45">
        <v>1648654</v>
      </c>
      <c r="G2" s="45">
        <v>0</v>
      </c>
      <c r="H2" s="45">
        <v>0</v>
      </c>
      <c r="I2" s="45">
        <v>0</v>
      </c>
      <c r="J2" s="45"/>
      <c r="K2" s="45"/>
      <c r="L2" s="46">
        <v>0</v>
      </c>
      <c r="M2" s="47">
        <f>SUM(B2:L2)</f>
        <v>22360062.739999998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49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49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62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53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54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2016-11-14T19:22:52Z</dcterms:modified>
</cp:coreProperties>
</file>